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xl/comments4.xml" ContentType="application/vnd.openxmlformats-officedocument.spreadsheetml.comments+xml"/>
  <Override PartName="/xl/comments2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orm Responses 1" state="hidden" r:id="rId4"/>
    <sheet sheetId="2" name=" جمادى الثانية" state="hidden" r:id="rId5"/>
    <sheet sheetId="3" name="جمادى الأولى" state="hidden" r:id="rId6"/>
    <sheet sheetId="4" name="الأحسن والأدنى" state="visible" r:id="rId7"/>
    <sheet sheetId="5" name="بيان النتائج" state="visible" r:id="rId8"/>
    <sheet sheetId="6" name="الغرفة 1" state="visible" r:id="rId9"/>
    <sheet sheetId="7" name="أسماء المشرفين والأولياء والرؤس" state="hidden" r:id="rId10"/>
    <sheet sheetId="8" name="الغرفة 2" state="visible" r:id="rId11"/>
    <sheet sheetId="9" name="الغرفة 3" state="visible" r:id="rId12"/>
    <sheet sheetId="10" name="الغرفة 4" state="visible" r:id="rId13"/>
    <sheet sheetId="11" name="الغرفة 5" state="visible" r:id="rId14"/>
    <sheet sheetId="12" name="الغرفة 6" state="visible" r:id="rId15"/>
    <sheet sheetId="13" name="الغرفة 7" state="visible" r:id="rId16"/>
    <sheet sheetId="14" name="الغرفة 8" state="visible" r:id="rId17"/>
    <sheet sheetId="15" name="الغرفة 9" state="visible" r:id="rId18"/>
    <sheet sheetId="16" name="الغرفة 10" state="visible" r:id="rId19"/>
    <sheet sheetId="17" name="الغرفة 11" state="visible" r:id="rId20"/>
    <sheet sheetId="18" name="الغرفة 12" state="visible" r:id="rId21"/>
    <sheet sheetId="19" name="الغرفة 13" state="visible" r:id="rId22"/>
    <sheet sheetId="20" name="الغرفة 14" state="visible" r:id="rId23"/>
    <sheet sheetId="21" name="الغرفة 15" state="visible" r:id="rId24"/>
    <sheet sheetId="22" name="الغرفة 16" state="visible" r:id="rId25"/>
    <sheet sheetId="23" name="الغرفة 17" state="visible" r:id="rId26"/>
    <sheet sheetId="24" name="الغرفة 18" state="visible" r:id="rId27"/>
    <sheet sheetId="25" name="الغرفة 19" state="visible" r:id="rId28"/>
    <sheet sheetId="26" name="الغرفة 20" state="visible" r:id="rId29"/>
    <sheet sheetId="27" name="الغرفة 21" state="visible" r:id="rId30"/>
    <sheet sheetId="28" name="الغرفة 22" state="visible" r:id="rId31"/>
    <sheet sheetId="29" name="الغرفة 23" state="visible" r:id="rId32"/>
    <sheet sheetId="30" name="الغرفة 24" state="visible" r:id="rId33"/>
    <sheet sheetId="31" name="الغرفة 25" state="visible" r:id="rId34"/>
    <sheet sheetId="32" name="الغرفة 26" state="visible" r:id="rId35"/>
    <sheet sheetId="33" name="الغرفة 27" state="visible" r:id="rId36"/>
    <sheet sheetId="34" name="الغرفة 28" state="visible" r:id="rId37"/>
    <sheet sheetId="35" name="الغرفة 29" state="visible" r:id="rId38"/>
    <sheet sheetId="36" name="الغرفة 30" state="visible" r:id="rId39"/>
    <sheet sheetId="37" name="الغرفة 31" state="visible" r:id="rId40"/>
    <sheet sheetId="38" name="الغرفة 32" state="visible" r:id="rId41"/>
    <sheet sheetId="39" name="الغرفة 33" state="visible" r:id="rId42"/>
    <sheet sheetId="40" name="الغرفة 34" state="visible" r:id="rId43"/>
    <sheet sheetId="41" name="الغرفة 35" state="visible" r:id="rId44"/>
    <sheet sheetId="42" name="Sheet26" state="visible" r:id="rId45"/>
    <sheet sheetId="43" name="الغرفة 36" state="visible" r:id="rId46"/>
    <sheet sheetId="44" name="الغرفة 37" state="visible" r:id="rId47"/>
    <sheet sheetId="45" name="الغرفة 38" state="visible" r:id="rId48"/>
    <sheet sheetId="46" name="الغرفة 39" state="visible" r:id="rId49"/>
    <sheet sheetId="47" name="الغرفة 40" state="visible" r:id="rId50"/>
    <sheet sheetId="48" name="الغرفة 41" state="visible" r:id="rId51"/>
    <sheet sheetId="49" name="الغرفة 42" state="visible" r:id="rId52"/>
    <sheet sheetId="50" name="الغرفة 43" state="visible" r:id="rId53"/>
    <sheet sheetId="51" name="الغرفة 45" state="visible" r:id="rId54"/>
    <sheet sheetId="52" name="الغرفة 46" state="visible" r:id="rId55"/>
    <sheet sheetId="53" name="الغرفة 47" state="visible" r:id="rId56"/>
    <sheet sheetId="54" name="الغرفة 48" state="visible" r:id="rId57"/>
    <sheet sheetId="55" name="الغرفة 49" state="visible" r:id="rId58"/>
    <sheet sheetId="56" name="الغرفة 50" state="visible" r:id="rId59"/>
    <sheet sheetId="57" name="الغرفة 51" state="visible" r:id="rId60"/>
    <sheet sheetId="58" name="الغرفة 52" state="visible" r:id="rId61"/>
    <sheet sheetId="59" name="الغرفة 53" state="visible" r:id="rId62"/>
    <sheet sheetId="60" name="الغرفة 54" state="visible" r:id="rId63"/>
    <sheet sheetId="61" name="الغرفة 55" state="visible" r:id="rId64"/>
    <sheet sheetId="62" name="الغرفة 56" state="visible" r:id="rId65"/>
    <sheet sheetId="63" name="الغرفة 57" state="visible" r:id="rId66"/>
    <sheet sheetId="64" name="الغرفة 58" state="visible" r:id="rId67"/>
    <sheet sheetId="65" name="الغرفة 59" state="visible" r:id="rId68"/>
    <sheet sheetId="66" name="الغرفة 60" state="visible" r:id="rId69"/>
    <sheet sheetId="67" name="الغرفة 61" state="visible" r:id="rId70"/>
    <sheet sheetId="68" name="الغرفة 62" state="visible" r:id="rId71"/>
    <sheet sheetId="69" name="الغرفة 63" state="visible" r:id="rId72"/>
    <sheet sheetId="70" name="الغرفة 64" state="visible" r:id="rId73"/>
    <sheet sheetId="71" name="الغرفة 65" state="visible" r:id="rId74"/>
    <sheet sheetId="72" name="الغرفة 1 دلوى 4" state="visible" r:id="rId75"/>
    <sheet sheetId="73" name="الغرفة 2 دلوى 4" state="visible" r:id="rId76"/>
    <sheet sheetId="74" name="الغرفة 3 دلوى 4" state="visible" r:id="rId77"/>
    <sheet sheetId="75" name="الغرفة 4 دلوى 4" state="visible" r:id="rId78"/>
    <sheet sheetId="76" name="الغرفة 5 دلوى 4" state="visible" r:id="rId79"/>
    <sheet sheetId="77" name="الغرفة 6 دلوى 4" state="visible" r:id="rId80"/>
    <sheet sheetId="78" name="الغرفة 7 دلوى 4" state="visible" r:id="rId81"/>
    <sheet sheetId="79" name="الغرفة 8 دلوى 4" state="visible" r:id="rId82"/>
    <sheet sheetId="80" name="الغرفة 9 دلوى 4" state="visible" r:id="rId83"/>
    <sheet sheetId="81" name="الغرفة 10 دلوى 4" state="visible" r:id="rId84"/>
    <sheet sheetId="82" name="الغرفة 11 دلوى 4" state="visible" r:id="rId85"/>
    <sheet sheetId="83" name="الغرفة 12 دلوى 4" state="visible" r:id="rId86"/>
    <sheet sheetId="84" name="الغرفة 13 دلوى 4" state="visible" r:id="rId87"/>
    <sheet sheetId="85" name="الغرفة 14 دلوى 4" state="visible" r:id="rId88"/>
    <sheet sheetId="86" name="الغرفة 15 دلوى 4" state="visible" r:id="rId89"/>
    <sheet sheetId="87" name="الغرفة 16 دلوى 4" state="visible" r:id="rId90"/>
    <sheet sheetId="88" name="الغرفة 17 دلوى 4" state="visible" r:id="rId91"/>
    <sheet sheetId="89" name="الغرفة 18 دلوى 4" state="visible" r:id="rId92"/>
  </sheets>
  <calcPr calcId="171027"/>
</workbook>
</file>

<file path=xl/comments23.xml><?xml version="1.0" encoding="utf-8"?>
<comments xmlns="http://schemas.openxmlformats.org/spreadsheetml/2006/main">
  <authors>
    <author>Author</author>
  </authors>
  <commentList>
    <comment ref="B13" authorId="0">
      <text/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1" authorId="0">
      <text/>
    </comment>
  </commentList>
</comments>
</file>

<file path=xl/sharedStrings.xml><?xml version="1.0" encoding="utf-8"?>
<sst xmlns="http://schemas.openxmlformats.org/spreadsheetml/2006/main" count="2860" uniqueCount="879">
  <si>
    <t>Timestamp</t>
  </si>
  <si>
    <t>Pertanyaan Tanpa Judul</t>
  </si>
  <si>
    <t>أحسن الغرف في إحياء اللغة العربية</t>
  </si>
  <si>
    <t>لشهر</t>
  </si>
  <si>
    <t>جمادى الثانية</t>
  </si>
  <si>
    <t>الرقم</t>
  </si>
  <si>
    <t>المنطقة</t>
  </si>
  <si>
    <t>الغرفة</t>
  </si>
  <si>
    <t>النتيجة</t>
  </si>
  <si>
    <t>مشرف الغرفة</t>
  </si>
  <si>
    <t>ولي الغرفة</t>
  </si>
  <si>
    <t>الرئيس</t>
  </si>
  <si>
    <t>الوكيل</t>
  </si>
  <si>
    <t>البناية الجديدة الفوقية</t>
  </si>
  <si>
    <t>الأستاذ أحمد</t>
  </si>
  <si>
    <t>المتخصص فوّاز الأمين</t>
  </si>
  <si>
    <t>محمد غازي دافا فراتاما</t>
  </si>
  <si>
    <t>أغم غلمان مبارك</t>
  </si>
  <si>
    <t>المتخصص أكمل فطاني</t>
  </si>
  <si>
    <t>البناية الجديدة الوسطية</t>
  </si>
  <si>
    <t>الأستاذ أنوار - ماسالمبو</t>
  </si>
  <si>
    <t>المتخصص عيدروس العيدروس</t>
  </si>
  <si>
    <t>مرجاني</t>
  </si>
  <si>
    <t>محمد أديب مبارك</t>
  </si>
  <si>
    <t>المتخصص عبد الفتاح مفاضل</t>
  </si>
  <si>
    <t>جامعة التحتية</t>
  </si>
  <si>
    <t>الأستاذ علي يماني</t>
  </si>
  <si>
    <t>المتخصص أحمد أسراري مفتاح إسماعيل</t>
  </si>
  <si>
    <t>محمد فقيه الأنصاري</t>
  </si>
  <si>
    <t>محمد رودي حمداني</t>
  </si>
  <si>
    <t>المتخصص رزقي أسفري</t>
  </si>
  <si>
    <t>جامعة الوسطية</t>
  </si>
  <si>
    <t>الأستاذ عبد الحليم</t>
  </si>
  <si>
    <t>المتخصص عبد الرحمن حسن</t>
  </si>
  <si>
    <t>ابن بنّاء</t>
  </si>
  <si>
    <t>ألفيان هداية</t>
  </si>
  <si>
    <t>-</t>
  </si>
  <si>
    <t>جامعة الفوقية</t>
  </si>
  <si>
    <t>الأستاذ مفتاح ميزان</t>
  </si>
  <si>
    <t>المتخصص محمد ورديان حق</t>
  </si>
  <si>
    <t>علي وفاء</t>
  </si>
  <si>
    <t>محمد سالم طاهر</t>
  </si>
  <si>
    <t>المتخصص سيف عقيل مولانا</t>
  </si>
  <si>
    <t>جامعة الطابق الأعلى</t>
  </si>
  <si>
    <t>الأستاذ محمد قرطبي</t>
  </si>
  <si>
    <t>المتخصص شفيق مولانا</t>
  </si>
  <si>
    <t>جاكا سرادنتا</t>
  </si>
  <si>
    <t>إرشاد العباد</t>
  </si>
  <si>
    <t>المتخصص سالم وِسْنو</t>
  </si>
  <si>
    <t>دار الأيتام التحتية</t>
  </si>
  <si>
    <t>الأستاذ إسماعيل الجفري</t>
  </si>
  <si>
    <t>المتخصص صفوان الكاف</t>
  </si>
  <si>
    <t>محمد عفيف كرامي</t>
  </si>
  <si>
    <t>أحمد مهاجر</t>
  </si>
  <si>
    <t>المتخصص أحمد علي</t>
  </si>
  <si>
    <t>دار الأيتام الوسطية</t>
  </si>
  <si>
    <t>الأستاذ أندري إلهام</t>
  </si>
  <si>
    <t>المتخصص زين الجنيدي</t>
  </si>
  <si>
    <t>محمد إحسان مصافي</t>
  </si>
  <si>
    <t>محمد عارفين</t>
  </si>
  <si>
    <t>المتخصص أحمد بهجة</t>
  </si>
  <si>
    <t>دار الأيتام الفوقية</t>
  </si>
  <si>
    <t>الأستاذ قفّال - راجي</t>
  </si>
  <si>
    <t>المتخصص محمد رضوان</t>
  </si>
  <si>
    <t>محمد زكا النفس</t>
  </si>
  <si>
    <t>أحمد مشفع أكمل</t>
  </si>
  <si>
    <t>دار الأيتام الطابق الأعلى</t>
  </si>
  <si>
    <t>الأستاذ عدلك</t>
  </si>
  <si>
    <t>المتخصص لبيب خيضر</t>
  </si>
  <si>
    <t>ألفان عطّاري</t>
  </si>
  <si>
    <t>محمد فرحان مسرور نشيد</t>
  </si>
  <si>
    <t>المتخصص محمد شمسي علي</t>
  </si>
  <si>
    <t>دلوا الرابع الغربي</t>
  </si>
  <si>
    <t>الأستاذ حافظ رياضي</t>
  </si>
  <si>
    <t>المتخصص أحمد معروف</t>
  </si>
  <si>
    <t>محمد إمام أزهري</t>
  </si>
  <si>
    <t>ضياء الشريف</t>
  </si>
  <si>
    <t>المتخصص محمد حنّان حنفي</t>
  </si>
  <si>
    <t>دلوا الرابع الشرقي</t>
  </si>
  <si>
    <t>الأستاذ نور حنيفانشة</t>
  </si>
  <si>
    <t>المتخصص عبد اللطيف</t>
  </si>
  <si>
    <t>لالؤ محمد عابد شهيدا</t>
  </si>
  <si>
    <t>خليل الله</t>
  </si>
  <si>
    <t>أدنى الغرف أو أخسّها في إحياء اللغة العربية</t>
  </si>
  <si>
    <t>جمادى الأولى</t>
  </si>
  <si>
    <t>الأستاذ رفلي - مالانق</t>
  </si>
  <si>
    <t>المتخصص عبد السلام لطفي</t>
  </si>
  <si>
    <t>زين المخلصين</t>
  </si>
  <si>
    <t>محمد فكري</t>
  </si>
  <si>
    <t>المتخصص محمد يوسف</t>
  </si>
  <si>
    <t>الأستاذ رفعات</t>
  </si>
  <si>
    <t>المتخصص أحمد شمَّاس فضالي</t>
  </si>
  <si>
    <t>ياسين أشعري</t>
  </si>
  <si>
    <t>محمد زكي فخر الرازي</t>
  </si>
  <si>
    <t>المتخصص أحمد نور فائزي</t>
  </si>
  <si>
    <t>الأستاذ محمد العيدروس</t>
  </si>
  <si>
    <t>المتخصص علوي الحدّاد</t>
  </si>
  <si>
    <t>عبد الرحمن حسين</t>
  </si>
  <si>
    <t>إلهام رمضان</t>
  </si>
  <si>
    <t>المتخصص أحمد شوقي</t>
  </si>
  <si>
    <t>الأستاذ قشيري - باويان</t>
  </si>
  <si>
    <t>المتخصص حافظ أولي النهى</t>
  </si>
  <si>
    <t>عبد الله العطاس</t>
  </si>
  <si>
    <t>محب خير الأنام شمس الدين</t>
  </si>
  <si>
    <t>المتخصص عبد المنّان بن جنيدي</t>
  </si>
  <si>
    <t>الأستاذ رسلي</t>
  </si>
  <si>
    <t>المتخصص رحمات هدايات</t>
  </si>
  <si>
    <t>محمد باقر</t>
  </si>
  <si>
    <t>معازم مالكي</t>
  </si>
  <si>
    <t>المتخصص عبد الشكور</t>
  </si>
  <si>
    <t>الأستاذ جَيْشِي</t>
  </si>
  <si>
    <t>المتخصص عارف مخلص</t>
  </si>
  <si>
    <t>محمد سلمان</t>
  </si>
  <si>
    <t>محمد سحيمي</t>
  </si>
  <si>
    <t>الأستاذ ماهر الحدّاد</t>
  </si>
  <si>
    <t>المتخصص أحمد بن مصباح المنير</t>
  </si>
  <si>
    <t>شهر المعارف</t>
  </si>
  <si>
    <t>محمد وافي</t>
  </si>
  <si>
    <t>الأستاذ سيف الدين</t>
  </si>
  <si>
    <t>المتخصص وحي فري وردانا</t>
  </si>
  <si>
    <t>مولانا إسحاق</t>
  </si>
  <si>
    <t>فاضل نزار رمضان</t>
  </si>
  <si>
    <t>الأستاذ مفتاح الرحمن</t>
  </si>
  <si>
    <t>المتخصص زين المجتهد</t>
  </si>
  <si>
    <t>ابن كثير</t>
  </si>
  <si>
    <t>محمد زين المصطفى</t>
  </si>
  <si>
    <t>الأستاذ نظيف - غراتي</t>
  </si>
  <si>
    <t>المتخصص أحمد صالح عقيل</t>
  </si>
  <si>
    <t>فضلا منتهى زين</t>
  </si>
  <si>
    <t>عبد الله ذكوان فاتح عبقري</t>
  </si>
  <si>
    <t>المتخصص عُبَيدِ الله</t>
  </si>
  <si>
    <t>محرّم</t>
  </si>
  <si>
    <t>الجامعة ط. 4 و دار الأيتام ط. 4</t>
  </si>
  <si>
    <t>أدنى الغرف في إحياء اللغة العربية</t>
  </si>
  <si>
    <t>كثرة الناطقين باللغة العربية</t>
  </si>
  <si>
    <t>مراجعة حفظ المفردات</t>
  </si>
  <si>
    <t>كتابة المفردات</t>
  </si>
  <si>
    <t>كتابة العبارات</t>
  </si>
  <si>
    <t>الحضور في تمام الموعد</t>
  </si>
  <si>
    <t>حمل الكتاب</t>
  </si>
  <si>
    <t>ارتداء الزي المناسب</t>
  </si>
  <si>
    <t>الهدوء</t>
  </si>
  <si>
    <t>كتابة المقالات</t>
  </si>
  <si>
    <t>وجود المعاندين</t>
  </si>
  <si>
    <t>الترتيب</t>
  </si>
  <si>
    <t>الأحسن \ الأدنى</t>
  </si>
  <si>
    <t>ولي الغرفة 1</t>
  </si>
  <si>
    <t>ولي الغرفة 2</t>
  </si>
  <si>
    <t>1</t>
  </si>
  <si>
    <t>البناية الجديدة ط. 3</t>
  </si>
  <si>
    <t>الأستاذ فائزين</t>
  </si>
  <si>
    <t>المتخصص سينقيه فجر أنندا</t>
  </si>
  <si>
    <t>المتخصص سلمان مهاجر</t>
  </si>
  <si>
    <t>إفق الرحمن</t>
  </si>
  <si>
    <t>عبد الرحيم</t>
  </si>
  <si>
    <t>2</t>
  </si>
  <si>
    <t>الأستاذ سبراملسي</t>
  </si>
  <si>
    <t>المتخصص مصطفى</t>
  </si>
  <si>
    <t>المتخصص محمد أليف توفيق أكبر</t>
  </si>
  <si>
    <t>غُستِيَاوان</t>
  </si>
  <si>
    <t>مبرّد الفؤاد</t>
  </si>
  <si>
    <t>3</t>
  </si>
  <si>
    <t>الأستاذ نجيب - بانقيل</t>
  </si>
  <si>
    <t>المتخصص حامد زين الدين</t>
  </si>
  <si>
    <t>المتخصص ريحان الفجري</t>
  </si>
  <si>
    <t>حسن راسيحان</t>
  </si>
  <si>
    <t>فؤاد فراتاما</t>
  </si>
  <si>
    <t>4</t>
  </si>
  <si>
    <t>الأستاذ فهمي الكاف</t>
  </si>
  <si>
    <t>المتخصص محمد هلال</t>
  </si>
  <si>
    <t>المتخصص هريادي</t>
  </si>
  <si>
    <t>أسامة رجال أمين</t>
  </si>
  <si>
    <t>فراري إلى رضاء الله</t>
  </si>
  <si>
    <t>5</t>
  </si>
  <si>
    <t>الأستاذ منوِّر عثمان</t>
  </si>
  <si>
    <t>المتخصص أندي أحمد محمد مالك الله</t>
  </si>
  <si>
    <t>المتخصص أنوار شافعي</t>
  </si>
  <si>
    <t>فقيه مفتي</t>
  </si>
  <si>
    <t>محمد مولانا</t>
  </si>
  <si>
    <t>6</t>
  </si>
  <si>
    <t>الأستاذ بخاري مسلم</t>
  </si>
  <si>
    <t>المتخصص فرحان مسرور</t>
  </si>
  <si>
    <t xml:space="preserve">المتخصص محمد إحسان مصافي </t>
  </si>
  <si>
    <t>محمد عفيف</t>
  </si>
  <si>
    <t>دكي خير المُهَينِي</t>
  </si>
  <si>
    <t>7</t>
  </si>
  <si>
    <t>الأستاذ علوي بن يحيى</t>
  </si>
  <si>
    <t>المتخصص محمد فاضل ريحانشة الحامد</t>
  </si>
  <si>
    <t>المتخصص زاهد الغازي</t>
  </si>
  <si>
    <t>سداد المحضار</t>
  </si>
  <si>
    <t>إحسان</t>
  </si>
  <si>
    <t>8</t>
  </si>
  <si>
    <t>الأستاذ علوي بن نور خالق</t>
  </si>
  <si>
    <t>المتخصص محمد أكمل</t>
  </si>
  <si>
    <t>أسكندري</t>
  </si>
  <si>
    <t>صالح</t>
  </si>
  <si>
    <t>9</t>
  </si>
  <si>
    <t>الأستاذ حنيفنشة</t>
  </si>
  <si>
    <t>المتخصص أحمد سيف الدين</t>
  </si>
  <si>
    <t>المتخصص مصطفى حلمي رشيد</t>
  </si>
  <si>
    <t>رابط أحسن</t>
  </si>
  <si>
    <t>سلطان عبد الغني</t>
  </si>
  <si>
    <t>10</t>
  </si>
  <si>
    <t>البناية الجديدة ط. 2</t>
  </si>
  <si>
    <t>الأستاذ أقوس</t>
  </si>
  <si>
    <t>المتخصص أحمد شيد الله</t>
  </si>
  <si>
    <t>المتخصص فخاريان أرزكي</t>
  </si>
  <si>
    <t>محمد مذكر فهمي</t>
  </si>
  <si>
    <t>محمد ضياء الحق</t>
  </si>
  <si>
    <t>11</t>
  </si>
  <si>
    <t>الأستاذ أحمد حضري</t>
  </si>
  <si>
    <t>المتخصص الصبر نور</t>
  </si>
  <si>
    <t>المتخصص لالؤ خير العزيز</t>
  </si>
  <si>
    <t>هرلان فضيلة</t>
  </si>
  <si>
    <t>أحمد فرحان</t>
  </si>
  <si>
    <t>12</t>
  </si>
  <si>
    <t>الأستاذ عادل</t>
  </si>
  <si>
    <t>المتخصص محمد حقّي النازلي</t>
  </si>
  <si>
    <t>المتخصص أحمد مهاجر</t>
  </si>
  <si>
    <t>أيّوبي</t>
  </si>
  <si>
    <t>فوز العظيم</t>
  </si>
  <si>
    <t>13</t>
  </si>
  <si>
    <t>المتخصص أرجوان أردابيلي</t>
  </si>
  <si>
    <t>المتخصص هلال ألدي</t>
  </si>
  <si>
    <t>محمد تجليس شريف</t>
  </si>
  <si>
    <t>مولانا عالم الصديقي شيباء</t>
  </si>
  <si>
    <t>14</t>
  </si>
  <si>
    <t>الأستاذ رضا - مدان</t>
  </si>
  <si>
    <t>المتخصص محمد محمد إرشاد العباد</t>
  </si>
  <si>
    <t>المتخصص حسن الرزاقي</t>
  </si>
  <si>
    <t>جعفر الحبشي</t>
  </si>
  <si>
    <t>أدي الدين</t>
  </si>
  <si>
    <t>15</t>
  </si>
  <si>
    <t>المتخصص محمد فؤاد</t>
  </si>
  <si>
    <t>المتخصص جاكا سرادينتا</t>
  </si>
  <si>
    <t>سلمان الفارسي</t>
  </si>
  <si>
    <t>عبد الهادي طه</t>
  </si>
  <si>
    <t>16</t>
  </si>
  <si>
    <t>الأستاذ محيِ</t>
  </si>
  <si>
    <t>المتخصص عبد الكهف شاه فوترا</t>
  </si>
  <si>
    <t>المتخصص أري ألفيان</t>
  </si>
  <si>
    <t>أنوار سداد</t>
  </si>
  <si>
    <t>أحمد رياضي</t>
  </si>
  <si>
    <t>17</t>
  </si>
  <si>
    <t>الجامعة ط. 1</t>
  </si>
  <si>
    <t>المتخصص أحيد رينداغ فيبي</t>
  </si>
  <si>
    <t>المتخصص محمد ألفين يحيى</t>
  </si>
  <si>
    <t>رفقي</t>
  </si>
  <si>
    <t>فكري</t>
  </si>
  <si>
    <t>18</t>
  </si>
  <si>
    <t>الأستاذ راحبيني</t>
  </si>
  <si>
    <t>المتخصص رحمة أغوس فينو فراتما</t>
  </si>
  <si>
    <t>المتخصص أحمد إسعاف الإيمان</t>
  </si>
  <si>
    <t>كيّس أحمد أ.</t>
  </si>
  <si>
    <t>نَزاريل</t>
  </si>
  <si>
    <t>19</t>
  </si>
  <si>
    <t>الأستاذ وحي الدين</t>
  </si>
  <si>
    <t>المتخصص محمد أكبر</t>
  </si>
  <si>
    <t>المتخصص محمد إلهام رمضاني</t>
  </si>
  <si>
    <t>رفعان</t>
  </si>
  <si>
    <t>أحمد زين</t>
  </si>
  <si>
    <t>20</t>
  </si>
  <si>
    <t>المتخصص عارف فراستوان</t>
  </si>
  <si>
    <t>المتخصص محمد أدتيا</t>
  </si>
  <si>
    <t>مفتوح زمزمي</t>
  </si>
  <si>
    <t>عِزّا نور حافظ</t>
  </si>
  <si>
    <t>21</t>
  </si>
  <si>
    <t>الأستاذ غفور - باسوروان</t>
  </si>
  <si>
    <t>المتخصص ريزا باعبود</t>
  </si>
  <si>
    <t>محمد باشيبان</t>
  </si>
  <si>
    <t>محمد فارسي</t>
  </si>
  <si>
    <t>22</t>
  </si>
  <si>
    <t>الأستاذ أنوار - بيت</t>
  </si>
  <si>
    <t>المتخصص حسين</t>
  </si>
  <si>
    <t>المتخصص محمد فارس</t>
  </si>
  <si>
    <t>السيد حسن باهارون</t>
  </si>
  <si>
    <t>حارس سعد الله</t>
  </si>
  <si>
    <t>23</t>
  </si>
  <si>
    <t>الجامعة ط. 2</t>
  </si>
  <si>
    <t>الأستاذ علي - لاوانق</t>
  </si>
  <si>
    <t>المتخصص محمد رودي حمداني</t>
  </si>
  <si>
    <t>محمد ألفَ رزقي</t>
  </si>
  <si>
    <t>بحر العلم</t>
  </si>
  <si>
    <t>24</t>
  </si>
  <si>
    <t>المتخصص محمد شكري</t>
  </si>
  <si>
    <t>المتخصص عبد الرحيم</t>
  </si>
  <si>
    <t>أبو بكر</t>
  </si>
  <si>
    <t>نَاصر</t>
  </si>
  <si>
    <t>25</t>
  </si>
  <si>
    <t>الأستاذ بدر الصالح</t>
  </si>
  <si>
    <t>المتخصص فقيه مقدم</t>
  </si>
  <si>
    <t>زين العابدين</t>
  </si>
  <si>
    <t>فرحان</t>
  </si>
  <si>
    <t>26</t>
  </si>
  <si>
    <t>الأستاذ إحسان - بنجر</t>
  </si>
  <si>
    <t>المتخصص عبد الحامد</t>
  </si>
  <si>
    <t>المتخصص لالؤ ألوان أردينانتا</t>
  </si>
  <si>
    <t>عبد الهادي</t>
  </si>
  <si>
    <t>صفي الله</t>
  </si>
  <si>
    <t>27</t>
  </si>
  <si>
    <t>الأستاذ حسن بصري - سمارندا</t>
  </si>
  <si>
    <t>المتخصص محمد مفتي</t>
  </si>
  <si>
    <t>المتخصص محب خير الأنام</t>
  </si>
  <si>
    <t>جوليان</t>
  </si>
  <si>
    <t>ريانطو</t>
  </si>
  <si>
    <t>28</t>
  </si>
  <si>
    <t>المتخصص ريان فؤادي</t>
  </si>
  <si>
    <t>المتخصص نوفل حمدي رشيد</t>
  </si>
  <si>
    <t>أحمد فوزان زكي</t>
  </si>
  <si>
    <t>فكري أولياء إلهامي</t>
  </si>
  <si>
    <t>29</t>
  </si>
  <si>
    <t>الجامعة ط. 3</t>
  </si>
  <si>
    <t>الأستاذ حقيقي</t>
  </si>
  <si>
    <t>المتخصص أحمد معمر حميدي</t>
  </si>
  <si>
    <t>ديدن سيف الدين</t>
  </si>
  <si>
    <t>محمد خليل لقمان</t>
  </si>
  <si>
    <t>30</t>
  </si>
  <si>
    <t>الأستاذ فرحان بن شهاب</t>
  </si>
  <si>
    <t>المتخصص أحمد صبري</t>
  </si>
  <si>
    <t>المتخصص خليل الرحمن</t>
  </si>
  <si>
    <t>ريحان صالحين</t>
  </si>
  <si>
    <t>محمد فقيه عُزَيْرين</t>
  </si>
  <si>
    <t>31</t>
  </si>
  <si>
    <t>المتخصص شريف عبد الفتاح</t>
  </si>
  <si>
    <t>المتخصص باقوس حسن الهدى</t>
  </si>
  <si>
    <t>خير الفردوس</t>
  </si>
  <si>
    <t>إقبال مولانا</t>
  </si>
  <si>
    <t>32</t>
  </si>
  <si>
    <t>الأستاذ فيّاد بن شهاب</t>
  </si>
  <si>
    <t>المتخصص محمد حسن عبد الله حامد</t>
  </si>
  <si>
    <t>المتخصص سلمان</t>
  </si>
  <si>
    <t>خيرور</t>
  </si>
  <si>
    <t>فجر</t>
  </si>
  <si>
    <t>33</t>
  </si>
  <si>
    <t>الأستاذ عرفان - جاكرتا</t>
  </si>
  <si>
    <t>المتخصص فائز زين المفتاح</t>
  </si>
  <si>
    <t>المتخصص مولانا مغربي</t>
  </si>
  <si>
    <t xml:space="preserve">محمد بوبي رحمن </t>
  </si>
  <si>
    <t xml:space="preserve">محمد تسليم </t>
  </si>
  <si>
    <t>34</t>
  </si>
  <si>
    <t>الأستاذ علي حافظ</t>
  </si>
  <si>
    <t>المتخصص محمد فاضل إبراهيم</t>
  </si>
  <si>
    <t>المتخصص محمد عارفين</t>
  </si>
  <si>
    <t>فريد أننتا</t>
  </si>
  <si>
    <t>مولد فراتاما</t>
  </si>
  <si>
    <t>35</t>
  </si>
  <si>
    <t>المتخصص محمد فضيلة أكبر</t>
  </si>
  <si>
    <t>المتخصص لطفي لقمان شة</t>
  </si>
  <si>
    <t>محمد رفقي</t>
  </si>
  <si>
    <t>ديكا سافوترا</t>
  </si>
  <si>
    <t>39</t>
  </si>
  <si>
    <t>دار الأيتام ط. 1</t>
  </si>
  <si>
    <t>الأستاذ زكي السقّاف</t>
  </si>
  <si>
    <t>المتخصص محمد خبر الهدى</t>
  </si>
  <si>
    <t>المتخصص محمد علوي</t>
  </si>
  <si>
    <t>فخري مولانا</t>
  </si>
  <si>
    <t>أندي راما</t>
  </si>
  <si>
    <t>40</t>
  </si>
  <si>
    <t>المتخصص حسن نيستا رضا</t>
  </si>
  <si>
    <t>المتخصص لطفي رمضان</t>
  </si>
  <si>
    <t>محمد ألفَار</t>
  </si>
  <si>
    <t>محمد دنيل</t>
  </si>
  <si>
    <t>41</t>
  </si>
  <si>
    <t>الأستاذ حسين بن أبي بكر السقّاف</t>
  </si>
  <si>
    <t>المتخصص أحمد زفان الحكم</t>
  </si>
  <si>
    <t>المتخصص مصطفى لطفي</t>
  </si>
  <si>
    <t>ذكري</t>
  </si>
  <si>
    <t>عبد الرحمن</t>
  </si>
  <si>
    <t>42</t>
  </si>
  <si>
    <t>الأستاذ سالم عيديد</t>
  </si>
  <si>
    <t>المتخصص صفوان إبراهيم</t>
  </si>
  <si>
    <t>المتخصص سقافول \ نور سيف</t>
  </si>
  <si>
    <t>مرسودي</t>
  </si>
  <si>
    <t>حافظ</t>
  </si>
  <si>
    <t>43</t>
  </si>
  <si>
    <t>الأستاذ عُرَيْضِي الحبشي</t>
  </si>
  <si>
    <t>المتخصص رفقية القوي البحر المنندار</t>
  </si>
  <si>
    <t>المتخصص إكمال أبرار</t>
  </si>
  <si>
    <t>يزيد شرعي</t>
  </si>
  <si>
    <t>محبوبي</t>
  </si>
  <si>
    <t>44</t>
  </si>
  <si>
    <t>45</t>
  </si>
  <si>
    <t>دار الأيتام ط. 2</t>
  </si>
  <si>
    <t>الأستاذ أمين الهدّار</t>
  </si>
  <si>
    <t>المتخصص محمد دفا رمضان</t>
  </si>
  <si>
    <t>أحمد زكي مصطفى</t>
  </si>
  <si>
    <t>أحمد مصطفى كامل</t>
  </si>
  <si>
    <t>46</t>
  </si>
  <si>
    <t xml:space="preserve">المتخصص محمد رحمة الله </t>
  </si>
  <si>
    <t>المتخصص لقمان الحكيم</t>
  </si>
  <si>
    <t>طارق ضحياء</t>
  </si>
  <si>
    <t>محمد سهيل</t>
  </si>
  <si>
    <t>47</t>
  </si>
  <si>
    <t>الأستاذ فاضل مدان</t>
  </si>
  <si>
    <t>المتخصص محمد</t>
  </si>
  <si>
    <t>المتخصص تنجوغ رحمة الله</t>
  </si>
  <si>
    <t>فطري أولى إلهامي</t>
  </si>
  <si>
    <t>سوهانداكو</t>
  </si>
  <si>
    <t>48</t>
  </si>
  <si>
    <t>الأستاذ قريش السقاف</t>
  </si>
  <si>
    <t>المتخصص أكبر مولانا العارف</t>
  </si>
  <si>
    <t>المتخصص محمد لطف الله حسبي</t>
  </si>
  <si>
    <t>أحمد نور فهمي</t>
  </si>
  <si>
    <t>رفقي حافظ الذكرِ</t>
  </si>
  <si>
    <t>49</t>
  </si>
  <si>
    <t>الأستاذ شكور</t>
  </si>
  <si>
    <t>المتخصص فضل الله</t>
  </si>
  <si>
    <t>المتخصص عبد المجيد</t>
  </si>
  <si>
    <t>عفيف شاكر</t>
  </si>
  <si>
    <t>حسبي الصدقي</t>
  </si>
  <si>
    <t>50</t>
  </si>
  <si>
    <t>الأستاذ عبد الرحمن صالح</t>
  </si>
  <si>
    <t>المتخصص ابن بنّا</t>
  </si>
  <si>
    <t>المتخصص عبد الله زاهر</t>
  </si>
  <si>
    <t>زاهر العطاس</t>
  </si>
  <si>
    <t>زيدان</t>
  </si>
  <si>
    <t>51</t>
  </si>
  <si>
    <t>الأستاذ زكي عدنان</t>
  </si>
  <si>
    <t>المتخصص محمد فكري</t>
  </si>
  <si>
    <t>المتخصص ذو الهنشة</t>
  </si>
  <si>
    <t>محمد فهمي قبيل أكبر</t>
  </si>
  <si>
    <t>لالؤ رمضاني</t>
  </si>
  <si>
    <t>52</t>
  </si>
  <si>
    <t>الأستاذ فهات راض</t>
  </si>
  <si>
    <t>المتخصص ماس محمد مولانا إسحاق</t>
  </si>
  <si>
    <t>المتخصص أحمد وكيل الخير</t>
  </si>
  <si>
    <t>أشرف الأنام</t>
  </si>
  <si>
    <t>فائز الهيتمي</t>
  </si>
  <si>
    <t>53</t>
  </si>
  <si>
    <t>دار الأيتام ط. 3</t>
  </si>
  <si>
    <t>الأستاذ عفيف</t>
  </si>
  <si>
    <t>المتخصص محمد حلمي</t>
  </si>
  <si>
    <t>المتخصص محمد مولانا</t>
  </si>
  <si>
    <t>حسن</t>
  </si>
  <si>
    <t>فخري رحمن</t>
  </si>
  <si>
    <t>54</t>
  </si>
  <si>
    <t>الأستاذ توفيق فندأن - شؤون</t>
  </si>
  <si>
    <t>المتخصص لالؤ محمد نوفل ريواندا</t>
  </si>
  <si>
    <t>المتخصص أحمد عبيد الله وافي الدين</t>
  </si>
  <si>
    <t>ميلفين زين العاشقين</t>
  </si>
  <si>
    <t>أحمد علي فردوس</t>
  </si>
  <si>
    <t>55</t>
  </si>
  <si>
    <t>الأستاذ أنصاري</t>
  </si>
  <si>
    <t>المتخصص محمد زدني حلمان سافوترا</t>
  </si>
  <si>
    <t>محسن</t>
  </si>
  <si>
    <t>محمد يُسْريل عرفاني</t>
  </si>
  <si>
    <t>56</t>
  </si>
  <si>
    <t>الأستاذ حسن الحَسْني</t>
  </si>
  <si>
    <t>المتخصص إبراهيم</t>
  </si>
  <si>
    <t>محمد طاهر</t>
  </si>
  <si>
    <t>محمد أريا زافر</t>
  </si>
  <si>
    <t>57</t>
  </si>
  <si>
    <t>المتخصص محمد حافظ</t>
  </si>
  <si>
    <t>محمد بحر الدين علي</t>
  </si>
  <si>
    <t>أوبِيْ فرمانشة</t>
  </si>
  <si>
    <t>58</t>
  </si>
  <si>
    <t>الأستاذ عبد الرحمن - لومبوك</t>
  </si>
  <si>
    <t>المتخصص سراج الدين</t>
  </si>
  <si>
    <t>المتخصص سلم طاهر</t>
  </si>
  <si>
    <t>محمد زكي</t>
  </si>
  <si>
    <t>رفقي حبيب الله</t>
  </si>
  <si>
    <t>59</t>
  </si>
  <si>
    <t>الأستاذ مؤمنين</t>
  </si>
  <si>
    <t>المتخصص فائز السقاف</t>
  </si>
  <si>
    <t>المتخصص خير الهدى</t>
  </si>
  <si>
    <t>فؤاد</t>
  </si>
  <si>
    <t>محمودين</t>
  </si>
  <si>
    <t>60</t>
  </si>
  <si>
    <t>المتخصص بمباغ نور ديانشة</t>
  </si>
  <si>
    <t>الغفاري</t>
  </si>
  <si>
    <t>محمد حاندستا</t>
  </si>
  <si>
    <t>61</t>
  </si>
  <si>
    <t>دار الأيتام ط. 4</t>
  </si>
  <si>
    <t>الأستاذ لالؤ أحمد جوهر</t>
  </si>
  <si>
    <t>المتخصص أحمد سيف الدين عليانشاه</t>
  </si>
  <si>
    <t>المتخصص أحمد فريد نور رشيد</t>
  </si>
  <si>
    <t>متّــقين</t>
  </si>
  <si>
    <t>جَيْرِي</t>
  </si>
  <si>
    <t>62</t>
  </si>
  <si>
    <t>الأستاذ زيني وردانا</t>
  </si>
  <si>
    <t>المتخصص صفيانشاه</t>
  </si>
  <si>
    <t>المتخصص يوسف مولانا</t>
  </si>
  <si>
    <t>عبد الكريم مصطفى</t>
  </si>
  <si>
    <t>محمد فريد زكي</t>
  </si>
  <si>
    <t>63</t>
  </si>
  <si>
    <t>المتخصص رزقي الفارس</t>
  </si>
  <si>
    <t>المتخصص هيلسل سبيلة</t>
  </si>
  <si>
    <t>هارون رشيد</t>
  </si>
  <si>
    <t>فيروز زبدي</t>
  </si>
  <si>
    <t>64</t>
  </si>
  <si>
    <t>الأستاذ فرحان - جاكارتا</t>
  </si>
  <si>
    <t>المتخصص عبد الله حسين علي</t>
  </si>
  <si>
    <t>المتخصص فرحان هداية الله</t>
  </si>
  <si>
    <t>محمد بن شعراني</t>
  </si>
  <si>
    <t>إسكندر ذو القرنين</t>
  </si>
  <si>
    <t>65</t>
  </si>
  <si>
    <t>الأستاذ نزار</t>
  </si>
  <si>
    <t>المتخصص جهيا مولانا ذو القرنين</t>
  </si>
  <si>
    <t>عبد الكريم</t>
  </si>
  <si>
    <t>شهريل سابانا</t>
  </si>
  <si>
    <t>36</t>
  </si>
  <si>
    <t>الجامعة ط. 4</t>
  </si>
  <si>
    <t>الأستاذ ريزا رحمن</t>
  </si>
  <si>
    <t>المتخصص محمد فجر البحري</t>
  </si>
  <si>
    <t>المتخصص عبد الرحمن فقيه</t>
  </si>
  <si>
    <t>زكي هدايات</t>
  </si>
  <si>
    <t>أحمد فاروق حسن</t>
  </si>
  <si>
    <t>37</t>
  </si>
  <si>
    <t>المتخصص محمد حبيبي</t>
  </si>
  <si>
    <t>المتخصص رفقي حريري يوسف</t>
  </si>
  <si>
    <t>شفيع الرحمن</t>
  </si>
  <si>
    <t>غاتان أرضا سافوترا</t>
  </si>
  <si>
    <t>38</t>
  </si>
  <si>
    <t>المتخصص أحمد نور عاشقين</t>
  </si>
  <si>
    <t>مفتي</t>
  </si>
  <si>
    <t>محمد رمضاني</t>
  </si>
  <si>
    <t>1 دلوى 4</t>
  </si>
  <si>
    <t>دلوى 4 الغربي</t>
  </si>
  <si>
    <t>الأستاذ عقيل محبوب</t>
  </si>
  <si>
    <t>المتخصص أحمد فقيه رمضان الأشراف</t>
  </si>
  <si>
    <t>لطفي</t>
  </si>
  <si>
    <t>أحسن الخُلُق</t>
  </si>
  <si>
    <t>2 دلوى 4</t>
  </si>
  <si>
    <t>الأستاذ باقر الخرد</t>
  </si>
  <si>
    <t>المتخصص أحمد هيكل فلدي</t>
  </si>
  <si>
    <t>المتخصص محمد فاريل فتح الله</t>
  </si>
  <si>
    <t>أحمد ويلي ستياوان</t>
  </si>
  <si>
    <t>لالؤ إندرا</t>
  </si>
  <si>
    <t>3 دلوى 4</t>
  </si>
  <si>
    <t>الأستاذ حنفي</t>
  </si>
  <si>
    <t>المتخصص ضياء الصالحين</t>
  </si>
  <si>
    <t>المتخصص محمد ناصر الدين</t>
  </si>
  <si>
    <t>محمد عارف الدين نيرا</t>
  </si>
  <si>
    <t>أحمد عطاء الله</t>
  </si>
  <si>
    <t>4 دلوى 4</t>
  </si>
  <si>
    <t>الأستاذ إروان</t>
  </si>
  <si>
    <t>المتخصص ابن كثير</t>
  </si>
  <si>
    <t>المتخصص أحمد زيدان إزدهار منير</t>
  </si>
  <si>
    <t>رضا</t>
  </si>
  <si>
    <t>أصلح شاني</t>
  </si>
  <si>
    <t>5 دلوى 4</t>
  </si>
  <si>
    <t>الأستاذ مهاجر</t>
  </si>
  <si>
    <t xml:space="preserve">المتخصص محمد الباقر السقاف </t>
  </si>
  <si>
    <t>المتخصص عطاء الله محمد جنيد</t>
  </si>
  <si>
    <t>فبريان</t>
  </si>
  <si>
    <t>دامار</t>
  </si>
  <si>
    <t>6 دلوى 4</t>
  </si>
  <si>
    <t>الأستاذ توفيق - باسوروان</t>
  </si>
  <si>
    <t>المتخصص محمد إحسان</t>
  </si>
  <si>
    <t>المتخصص ضياء الشريف</t>
  </si>
  <si>
    <t>فجر دامار</t>
  </si>
  <si>
    <t>حسن أكمل</t>
  </si>
  <si>
    <t>7 دلوى 4</t>
  </si>
  <si>
    <t>الأستاذ قمر الدين</t>
  </si>
  <si>
    <t>المتخصص أبو بكر واثق</t>
  </si>
  <si>
    <t>المتخصص محمد إمام أزهاري</t>
  </si>
  <si>
    <t>إرحام إخفان</t>
  </si>
  <si>
    <t>محمد بحر الوفاء</t>
  </si>
  <si>
    <t>8 دلوى 4</t>
  </si>
  <si>
    <t>الأستاذ فاضل - جمبر</t>
  </si>
  <si>
    <t>المتخصص محمد الشريف الحدّاد</t>
  </si>
  <si>
    <t>المتخصص شريف هداية الله</t>
  </si>
  <si>
    <t>سراج الأمم</t>
  </si>
  <si>
    <t>فيكو إسا سانتيكا</t>
  </si>
  <si>
    <t>9 دلوى 4</t>
  </si>
  <si>
    <t>المتخصص ريزا أنصاري</t>
  </si>
  <si>
    <t>المتخصص لالؤ محمد عابد شهدان</t>
  </si>
  <si>
    <t>خيزا فجر رزقي</t>
  </si>
  <si>
    <t>عبد الفتاح</t>
  </si>
  <si>
    <t>10 دلوى 4</t>
  </si>
  <si>
    <t>دلوى 4 الشرقي</t>
  </si>
  <si>
    <t>الأستاذ توفيق - سامفيت</t>
  </si>
  <si>
    <t>المتخصص محمد كمال</t>
  </si>
  <si>
    <t>المتخصص محمد فطريادي</t>
  </si>
  <si>
    <t>شهر المعمَّر</t>
  </si>
  <si>
    <t>صاحب المُسنِد</t>
  </si>
  <si>
    <t>11 دلوى 4</t>
  </si>
  <si>
    <t>الأستاذ زين الدين - مالانق</t>
  </si>
  <si>
    <t>المتخصص أحمد حسن</t>
  </si>
  <si>
    <t>المتخصص محمد توفيق</t>
  </si>
  <si>
    <t>محمد نبيل</t>
  </si>
  <si>
    <t>حارس بن شهاب</t>
  </si>
  <si>
    <t>12 دلوى 4</t>
  </si>
  <si>
    <t>الأستاذ عبد الله الحَسْني</t>
  </si>
  <si>
    <t>المتخصص إمام مولانا</t>
  </si>
  <si>
    <t>المتخصص خليل الله</t>
  </si>
  <si>
    <t>محمد كافِ الكاف</t>
  </si>
  <si>
    <t>محمد حسين أزهري</t>
  </si>
  <si>
    <t>13 دلوى 4</t>
  </si>
  <si>
    <t>المتخصص محمد حسن</t>
  </si>
  <si>
    <t>المتخصص محمد رزلدي</t>
  </si>
  <si>
    <t>زكي سيف الله</t>
  </si>
  <si>
    <t>محمد سيف البحر</t>
  </si>
  <si>
    <t>14 دلوى 4</t>
  </si>
  <si>
    <t>الأستاذ نور خالص</t>
  </si>
  <si>
    <t>المتخصص محمد حارس هداية</t>
  </si>
  <si>
    <t>المتخصص رفقي رصيفي</t>
  </si>
  <si>
    <t>فاتحين</t>
  </si>
  <si>
    <t>رزالدي</t>
  </si>
  <si>
    <t>15 دلوى 4</t>
  </si>
  <si>
    <t>الأستاذ نور أحمد - بانقيل</t>
  </si>
  <si>
    <t>المتخصص محمد نور الصباح</t>
  </si>
  <si>
    <t>المتخصص ثاقب صدقي</t>
  </si>
  <si>
    <t>محمد الغزالي</t>
  </si>
  <si>
    <t>حبيب فتح الله</t>
  </si>
  <si>
    <t>16 دلوى 4</t>
  </si>
  <si>
    <t>الأستاذ فريد صفر الدين</t>
  </si>
  <si>
    <t>المتخصص محمد مصباح الكرام</t>
  </si>
  <si>
    <t>المتخصص رفقي أنصار الله</t>
  </si>
  <si>
    <t>إحسان هدايات</t>
  </si>
  <si>
    <t>محمد قلبي فطرة</t>
  </si>
  <si>
    <t>17 دلوى 4</t>
  </si>
  <si>
    <t>الأستاذ مصلح</t>
  </si>
  <si>
    <t>المتخصص أحمد رياشي</t>
  </si>
  <si>
    <t>رحمة أريونو</t>
  </si>
  <si>
    <t>عمر الكاف</t>
  </si>
  <si>
    <t>18 دلوى 4</t>
  </si>
  <si>
    <t>الأستاذ توفيق - فندأن</t>
  </si>
  <si>
    <t>المتخصص محمد صالحين ياسين</t>
  </si>
  <si>
    <t>المتخصص شريف الحداد</t>
  </si>
  <si>
    <t>محمد رحمة درماوان</t>
  </si>
  <si>
    <t>خير الذكرِ</t>
  </si>
  <si>
    <t>Home</t>
  </si>
  <si>
    <t>قراءة المحاورة</t>
  </si>
  <si>
    <t>١</t>
  </si>
  <si>
    <t>الأسبوع</t>
  </si>
  <si>
    <t>التاريخ \ اليوم</t>
  </si>
  <si>
    <t>الأول</t>
  </si>
  <si>
    <t>الثاني</t>
  </si>
  <si>
    <t>الثالث</t>
  </si>
  <si>
    <t>الرابع</t>
  </si>
  <si>
    <t>المتخصص أحمد شفيق إتقان</t>
  </si>
  <si>
    <t>المتخصص محمد فيصل</t>
  </si>
  <si>
    <t>رزقي الفارزي</t>
  </si>
  <si>
    <t>إدهم فضيل</t>
  </si>
  <si>
    <t>المتخصص فرحان فضيلة</t>
  </si>
  <si>
    <t>المتخصص محمد فلكي</t>
  </si>
  <si>
    <t>محمد إحسان عسكري</t>
  </si>
  <si>
    <t>محمد نور سيف</t>
  </si>
  <si>
    <t>المتخصص محمد نور فكري رزقي</t>
  </si>
  <si>
    <t>المتخصص عزيزي إبراهيم</t>
  </si>
  <si>
    <t>أحمد أعلى فراديس الجنان</t>
  </si>
  <si>
    <t>صاحب الولدان</t>
  </si>
  <si>
    <t>المتخصص أحمد نعم شكري غزالي</t>
  </si>
  <si>
    <t>المتخصص بَغْجَا مغني</t>
  </si>
  <si>
    <t>محمد فارس</t>
  </si>
  <si>
    <t>تانجونق رحمة الله</t>
  </si>
  <si>
    <t>المتخصص توفيق أنوار</t>
  </si>
  <si>
    <t>المتخصص محمد شريف هداية الله</t>
  </si>
  <si>
    <t>فخريان أرزاقي</t>
  </si>
  <si>
    <t>محمد مخدوم إبراهيم</t>
  </si>
  <si>
    <t>المتخصص محمد فريد بن شهر</t>
  </si>
  <si>
    <t>وحي رمضان</t>
  </si>
  <si>
    <t>لقمان</t>
  </si>
  <si>
    <t>الأستاذ مجيب الدين - بنجر</t>
  </si>
  <si>
    <t>المتخصص محمد هلال مشكور</t>
  </si>
  <si>
    <t>المتخصص أحمد فخر الرازي</t>
  </si>
  <si>
    <t>محمد زدني حلمان سافوترا</t>
  </si>
  <si>
    <t>رحمة أغوس فينو فراتاما</t>
  </si>
  <si>
    <t>المتخصص محمد عكاشة</t>
  </si>
  <si>
    <t>المتخصص فخر الرازي بن روماوا</t>
  </si>
  <si>
    <t>محمد مفتوح</t>
  </si>
  <si>
    <t>لالؤ خير العزيز فرمانشة</t>
  </si>
  <si>
    <t>الأستاذ فخري المطهر</t>
  </si>
  <si>
    <t>المتخصص أحمد لبيب فيروز</t>
  </si>
  <si>
    <t>محمد راحد مبارك</t>
  </si>
  <si>
    <t>ابن شفاعة الرحمن</t>
  </si>
  <si>
    <t>المتخصص محمد ناصح</t>
  </si>
  <si>
    <t>المتخصص زدني نور</t>
  </si>
  <si>
    <t>رفقي رمضاني</t>
  </si>
  <si>
    <t>ريحان الفجري</t>
  </si>
  <si>
    <t>المتخصص فازَ هُدِيَتاما</t>
  </si>
  <si>
    <t>المتخصص راجح أبصار رحمدي</t>
  </si>
  <si>
    <t>أحمد فتح الرحمن</t>
  </si>
  <si>
    <t>محمد فجر الفلاح</t>
  </si>
  <si>
    <t>الأستاذ ذو الهِمَم</t>
  </si>
  <si>
    <t>المتخصص شوقي دوي إفندي</t>
  </si>
  <si>
    <t>المتخصص محمد أشعري</t>
  </si>
  <si>
    <t>دفا رمضان</t>
  </si>
  <si>
    <t>إبراهيم</t>
  </si>
  <si>
    <t>الجامعة التحتية</t>
  </si>
  <si>
    <t>المتخصص سفيان شامي مثوى</t>
  </si>
  <si>
    <t>المتخصص أزفغيم أسوانغا</t>
  </si>
  <si>
    <t>عيدي القاف</t>
  </si>
  <si>
    <t>اليف خان</t>
  </si>
  <si>
    <t>المتخصص محمد رزقي مبارك</t>
  </si>
  <si>
    <t>محمد</t>
  </si>
  <si>
    <t>أحمد مقداد الرؤوفي</t>
  </si>
  <si>
    <t>المتخصص ضيف الرحمن</t>
  </si>
  <si>
    <t>محمد مولانا العيدروس</t>
  </si>
  <si>
    <t>المتخصص رفلي رامبي</t>
  </si>
  <si>
    <t>نوفل حمدي رشيد</t>
  </si>
  <si>
    <t>الجامعة الوسطية</t>
  </si>
  <si>
    <t>المتخصص محمد شوقي الله</t>
  </si>
  <si>
    <t>يوسف مولانا</t>
  </si>
  <si>
    <t>محمد فارس شديد العزمِ</t>
  </si>
  <si>
    <t>المتخصص رزقي رمضان</t>
  </si>
  <si>
    <t>المتخصص عمّار رفيه</t>
  </si>
  <si>
    <t>يوسف القدري</t>
  </si>
  <si>
    <t>محمد حفيظ الدين سفرز</t>
  </si>
  <si>
    <t>المتخصص نوغراها خيبر</t>
  </si>
  <si>
    <t>محمد فاضل إبراهيم</t>
  </si>
  <si>
    <t>أحمد علي</t>
  </si>
  <si>
    <t>المتخصص عبد الرحمن كهفي</t>
  </si>
  <si>
    <t>فرمان</t>
  </si>
  <si>
    <t>لطفي رمضان</t>
  </si>
  <si>
    <t>الجامعة الفوقية</t>
  </si>
  <si>
    <t>المتخصص خير الأنصاري</t>
  </si>
  <si>
    <t>المخصص مُحِبّ خير الأنام</t>
  </si>
  <si>
    <t>محمد أكمل نور رزلدي</t>
  </si>
  <si>
    <t>أحمد نور عاشقين</t>
  </si>
  <si>
    <t>المتخصص فاضل بازهير</t>
  </si>
  <si>
    <t>المتخصص شهر رمضاني</t>
  </si>
  <si>
    <t>علي بارقبة</t>
  </si>
  <si>
    <t>محمد لطفي لقمانشة</t>
  </si>
  <si>
    <t>المتخصص محمد عرفات</t>
  </si>
  <si>
    <t>المتخصص باقر السقّاف</t>
  </si>
  <si>
    <t>محمد أشرفي أصفهاني</t>
  </si>
  <si>
    <t>أحمد وحيودي</t>
  </si>
  <si>
    <t>المتخصص أحمد هداية الله</t>
  </si>
  <si>
    <t>المتخصص ديماس سيف الأَنَس</t>
  </si>
  <si>
    <t>أحمد شوقي الحداد</t>
  </si>
  <si>
    <t>محمد إنسان كامل</t>
  </si>
  <si>
    <t>المتخصص حَكَم رمضاني</t>
  </si>
  <si>
    <t>المتخصص أحمد رضوانشة</t>
  </si>
  <si>
    <t>محمد ألفيان يحيى</t>
  </si>
  <si>
    <t>عبد الحامد</t>
  </si>
  <si>
    <t>المتخصص خير الله</t>
  </si>
  <si>
    <t>المتخصص عرش العظيم</t>
  </si>
  <si>
    <t>محمد فاضل</t>
  </si>
  <si>
    <t>المتخصص بليا شيخ</t>
  </si>
  <si>
    <t>المتخصص أحمد أوّل الدين الشاذلي</t>
  </si>
  <si>
    <t>إكمال أبرار</t>
  </si>
  <si>
    <t>أحمد معمر حميدي</t>
  </si>
  <si>
    <t>المتخصص فكري</t>
  </si>
  <si>
    <t>المتخصص متشابِهًا بحلم</t>
  </si>
  <si>
    <t>أكبر مولانا عارف</t>
  </si>
  <si>
    <t>محمد سوريا دوي سافوترا</t>
  </si>
  <si>
    <t>الأستاذ محمد السرّيّ</t>
  </si>
  <si>
    <t>المتخصص شوقي عبد الرحمن</t>
  </si>
  <si>
    <t>المتخصص أقوغ فبريانطو</t>
  </si>
  <si>
    <t>سلمان مرحم</t>
  </si>
  <si>
    <t>المتخصص إندرا عِدْلِيانشة</t>
  </si>
  <si>
    <t>المتخصص محمد سيّدِ الحندياس</t>
  </si>
  <si>
    <t>أنوار</t>
  </si>
  <si>
    <t>لقمان حكيم</t>
  </si>
  <si>
    <t xml:space="preserve"> المتخصص محمد صالح بن نجي الله</t>
  </si>
  <si>
    <t>المتخصص مولانا ملك إبراهيم الهندوان</t>
  </si>
  <si>
    <t>محمد عبد الله زين السقاف</t>
  </si>
  <si>
    <t>رفقي حريري يوسف</t>
  </si>
  <si>
    <t>المتخصص نور هدى</t>
  </si>
  <si>
    <t>ذو الهنشاة</t>
  </si>
  <si>
    <t>أرجوان أردابيلي</t>
  </si>
  <si>
    <t>التخصص عبد المعزّ</t>
  </si>
  <si>
    <t>ديماس</t>
  </si>
  <si>
    <t>حسين</t>
  </si>
  <si>
    <t>الأستاذ يوسف بن يونس</t>
  </si>
  <si>
    <t>المتخصص مصطفى أمين</t>
  </si>
  <si>
    <t>المتخصص محمد رمضاني بن إرصًا</t>
  </si>
  <si>
    <t>محمد علي مرتضى</t>
  </si>
  <si>
    <t>حسن بصري</t>
  </si>
  <si>
    <t>الأستاذ رفقي كريم</t>
  </si>
  <si>
    <t>المتخصص أحمد فرزداق أزهري</t>
  </si>
  <si>
    <t>عبد الرحمن حيدر</t>
  </si>
  <si>
    <t>أحمد هاديانشة</t>
  </si>
  <si>
    <t>المتخصص حنيف مُخلَص الفنادي</t>
  </si>
  <si>
    <t>أحمد فجري</t>
  </si>
  <si>
    <t>محمد هلال</t>
  </si>
  <si>
    <t>المتخصص فرحان أدوم</t>
  </si>
  <si>
    <t>المتخصص بخاري العيدروس</t>
  </si>
  <si>
    <t>محمد فوزان عابد الرحمن</t>
  </si>
  <si>
    <t>محمد نور إسحاق</t>
  </si>
  <si>
    <t>المتخصص سيّد مالكي</t>
  </si>
  <si>
    <t>المتخصص حيدر ولداني</t>
  </si>
  <si>
    <t>عبد الفقيه</t>
  </si>
  <si>
    <t>المتخصص نور خالص</t>
  </si>
  <si>
    <t>محمد فؤاد</t>
  </si>
  <si>
    <t>مصطفى أحمد</t>
  </si>
  <si>
    <t>المتخصص محمد مصباح</t>
  </si>
  <si>
    <t>محمد سريا دوي فوترا</t>
  </si>
  <si>
    <t>فرحان أسري</t>
  </si>
  <si>
    <t>المتخصص أحمد صفر فخر الرازي</t>
  </si>
  <si>
    <t>المتخصص برهان الدين يوسف</t>
  </si>
  <si>
    <t>سلمان مهاجر</t>
  </si>
  <si>
    <t>محمد زكيهم سوغندا</t>
  </si>
  <si>
    <t>المتخصص داني إقبال</t>
  </si>
  <si>
    <t>المتخصص محمد أنيس حسين</t>
  </si>
  <si>
    <t>محمد نوفل تري أتموجو</t>
  </si>
  <si>
    <t>محمد خليل الرحمن</t>
  </si>
  <si>
    <t>المتخصص محمد نهراوي</t>
  </si>
  <si>
    <t>أحمد حلمي</t>
  </si>
  <si>
    <t>عبد الحميد</t>
  </si>
  <si>
    <t>المتخصص فتح العالم أحمد رفاعي</t>
  </si>
  <si>
    <t>علي رضا بن شيخ أبي بكر</t>
  </si>
  <si>
    <t>أحمد عيسى</t>
  </si>
  <si>
    <t>المتخصص نمر الله</t>
  </si>
  <si>
    <t>المتخصص داني ترمذي</t>
  </si>
  <si>
    <t>محمد بنكيتت إبراهيم</t>
  </si>
  <si>
    <t>جهيا مولانا ذو القرنين</t>
  </si>
  <si>
    <t>المتخصص عبد الرشيد</t>
  </si>
  <si>
    <t>المتخصص حسين بن حسن السقّاف</t>
  </si>
  <si>
    <t>أقصى الكرنياوان</t>
  </si>
  <si>
    <t>محمد نصائح العباد</t>
  </si>
  <si>
    <t>المتخصص مُزَيِّن عبد الله</t>
  </si>
  <si>
    <t>المتخصص نور فخري رمضان</t>
  </si>
  <si>
    <t>حريري</t>
  </si>
  <si>
    <t>مصطفى لطفي</t>
  </si>
  <si>
    <t>المتخصص عبد الهادي مصطفى</t>
  </si>
  <si>
    <t>المتخصص محمد لطفي</t>
  </si>
  <si>
    <t>محمد رزقي هريانطا</t>
  </si>
  <si>
    <t>المتخصص محمد عبيد الله الشعباني</t>
  </si>
  <si>
    <t>المتخصص أحمد مرزوكي بن سنوسي</t>
  </si>
  <si>
    <t>محمد شريف هداية الله</t>
  </si>
  <si>
    <t>محمد شيخان</t>
  </si>
  <si>
    <t>المتخصص أحمد ألف هداية</t>
  </si>
  <si>
    <t>نور أحمد ضياء الدين</t>
  </si>
  <si>
    <t>محمد ريزا</t>
  </si>
  <si>
    <t>المتخصص أحمد طه نور</t>
  </si>
  <si>
    <t>المتخصص  محمد خطيب الأمم</t>
  </si>
  <si>
    <t>أبو نفعا</t>
  </si>
  <si>
    <t>ضياء الصالحين</t>
  </si>
  <si>
    <t>الأستاذ قمر</t>
  </si>
  <si>
    <t>المتخصص حميدي</t>
  </si>
  <si>
    <t>محمد أكمل الفارابي</t>
  </si>
  <si>
    <t>محمد حارس هدايات</t>
  </si>
  <si>
    <t>المتخصص محمد أكبر سبيلِ الله</t>
  </si>
  <si>
    <t>المتخصص رسولي</t>
  </si>
  <si>
    <t>محمد فريل فتح الله</t>
  </si>
  <si>
    <t>أولياء ابن رمضان</t>
  </si>
  <si>
    <t>المتخصص حَندي ديناتا</t>
  </si>
  <si>
    <t>المتخصص ريكي أسفندي</t>
  </si>
  <si>
    <t>رفقي أنصار الله</t>
  </si>
  <si>
    <t>محمد ريزلدي</t>
  </si>
  <si>
    <t>المتخصص محمد نبيب فائزي</t>
  </si>
  <si>
    <t>رضا لطفين</t>
  </si>
  <si>
    <t>أحمد زيدان ازدهار منير</t>
  </si>
  <si>
    <t>المتخصص محمد أيرلانقا</t>
  </si>
  <si>
    <t>محمد عبدان حافظ الله</t>
  </si>
  <si>
    <t>أحمد سيف الدين</t>
  </si>
  <si>
    <t>أشعري خليل</t>
  </si>
  <si>
    <t>محمد عبد الله فقيه</t>
  </si>
  <si>
    <t>المتخصص محمد فائز أولي النهى</t>
  </si>
  <si>
    <t>أحمد إلهام عز الدين</t>
  </si>
  <si>
    <t>أحمد هيكل فلضي</t>
  </si>
  <si>
    <t>المتخصص محمد حبشي الصديقي</t>
  </si>
  <si>
    <t>المتخصص فهمي إدريس مرتفع</t>
  </si>
  <si>
    <t>زولفان هيكل جندان</t>
  </si>
  <si>
    <t>محمد كمال</t>
  </si>
  <si>
    <t>المتخصص حنيفا يُسرا</t>
  </si>
  <si>
    <t>المتخصص ولدان حامد</t>
  </si>
  <si>
    <t>خيري أنوار</t>
  </si>
  <si>
    <t>مصطفى</t>
  </si>
  <si>
    <t>المتخصص محمد صالح بن أحمد</t>
  </si>
  <si>
    <t>المتخصص محمد إقبال فخر العزيز</t>
  </si>
  <si>
    <t>محمد ناصر الدين</t>
  </si>
  <si>
    <t>عطاء الله محمد</t>
  </si>
  <si>
    <t>٢</t>
  </si>
  <si>
    <t>٣</t>
  </si>
  <si>
    <t>٤</t>
  </si>
  <si>
    <t>٥</t>
  </si>
  <si>
    <t>٦</t>
  </si>
  <si>
    <t>٧</t>
  </si>
  <si>
    <t>٨</t>
  </si>
  <si>
    <t>٩</t>
  </si>
  <si>
    <t>١٠</t>
  </si>
  <si>
    <t>١١</t>
  </si>
  <si>
    <t>١٢</t>
  </si>
  <si>
    <t>١٣</t>
  </si>
  <si>
    <t>١٤</t>
  </si>
  <si>
    <t>١٥</t>
  </si>
  <si>
    <t>١٦</t>
  </si>
  <si>
    <t>١٧</t>
  </si>
  <si>
    <t>2026-08-16</t>
  </si>
  <si>
    <t>١٨</t>
  </si>
  <si>
    <t>١٩</t>
  </si>
  <si>
    <t>٢٠</t>
  </si>
  <si>
    <t xml:space="preserve"> </t>
  </si>
  <si>
    <t>70.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</si>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</sst>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d&quot;, &quot;dd&quot; &quot;mmmm&quot; &quot;yyyy"/>
    <numFmt numFmtId="165" formatCode="d/m/yyyy"/>
    <numFmt numFmtId="166" formatCode="d/m/yy"/>
  </numFmts>
  <fonts count="31" x14ac:knownFonts="1">
    <font>
      <color theme="1"/>
      <family val="2"/>
      <scheme val="minor"/>
      <sz val="11"/>
      <name val="Calibri"/>
    </font>
    <font>
      <color theme="1"/>
      <name val="Arial"/>
    </font>
    <font>
      <color rgb="FF000000"/>
      <name val="Arial"/>
    </font>
    <font>
      <b/>
      <color rgb="FF000000"/>
      <sz val="14"/>
      <name val="Arial"/>
    </font>
    <font>
      <b/>
      <color rgb="FF000000"/>
      <sz val="12"/>
      <name val="Arial"/>
    </font>
    <font>
      <color rgb="FF000000"/>
      <sz val="12"/>
      <name val="Arial"/>
    </font>
    <font>
      <b/>
      <color theme="1"/>
      <sz val="15"/>
      <name val="Arial"/>
    </font>
    <font/>
    <font>
      <b/>
      <color theme="1"/>
      <sz val="14"/>
      <name val="Dalwa_Print"/>
    </font>
    <font>
      <b/>
      <color theme="1"/>
      <sz val="13"/>
      <name val="Dalwa_Print"/>
    </font>
    <font>
      <b/>
      <color rgb="FF000000"/>
      <sz val="13"/>
      <name val="Arial"/>
    </font>
    <font>
      <b/>
      <color theme="1"/>
      <sz val="13"/>
      <name val="Arial"/>
    </font>
    <font>
      <b/>
      <color rgb="FF000000"/>
      <sz val="20"/>
      <name val="Arial"/>
    </font>
    <font>
      <b/>
      <color rgb="FF1C4587"/>
      <sz val="20"/>
      <name val="Arial"/>
    </font>
    <font>
      <b/>
      <color rgb="FF000000"/>
      <sz val="15"/>
      <name val="Arial"/>
    </font>
    <font>
      <color rgb="FF000000"/>
      <sz val="15"/>
      <name val="Comic Sans MS"/>
    </font>
    <font>
      <color theme="1"/>
      <sz val="15"/>
      <name val="Comic Sans MS"/>
    </font>
    <font>
      <color rgb="FF000000"/>
      <sz val="15"/>
      <name val="Arial"/>
    </font>
    <font>
      <b/>
      <color rgb="FF7F6000"/>
      <sz val="20"/>
      <name val="Arial"/>
    </font>
    <font>
      <b/>
      <color rgb="FFFFFFFF"/>
      <sz val="15"/>
      <name val="Arial"/>
    </font>
    <font>
      <b/>
      <u/>
      <color rgb="FF0000FF"/>
      <sz val="15"/>
      <name val="Arial"/>
    </font>
    <font>
      <b/>
      <color rgb="FF000000"/>
      <sz val="14"/>
      <name val="Times New Roman"/>
    </font>
    <font>
      <b/>
      <color rgb="FF000000"/>
      <sz val="14"/>
      <name val="Dalwa_Print"/>
    </font>
    <font>
      <b/>
      <color rgb="FFFFFFFF"/>
      <sz val="14"/>
      <name val="Dalwa_Print"/>
    </font>
    <font>
      <color theme="1"/>
      <sz val="14"/>
      <name val="Comic Sans MS"/>
    </font>
    <font>
      <b/>
      <color theme="1"/>
      <sz val="14"/>
      <name val="Times New Roman"/>
    </font>
    <font>
      <b/>
      <u/>
      <color rgb="FFFFFFFF"/>
      <sz val="15"/>
      <name val="Lexend"/>
    </font>
    <font>
      <color theme="1"/>
      <sz val="15"/>
      <name val="Arial"/>
    </font>
    <font>
      <color theme="1"/>
      <sz val="24"/>
      <name val="Arial"/>
    </font>
    <font>
      <b/>
      <color theme="0"/>
      <sz val="15"/>
      <name val="Arial"/>
    </font>
    <font>
      <b/>
      <u/>
      <color theme="0"/>
      <sz val="15"/>
      <name val="Arial"/>
    </font>
  </fonts>
  <fills count="40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4DD0E1"/>
        <bgColor rgb="FF4DD0E1"/>
      </patternFill>
    </fill>
    <fill>
      <patternFill patternType="solid">
        <fgColor rgb="FF16B316"/>
        <bgColor rgb="FF16B316"/>
      </patternFill>
    </fill>
    <fill>
      <patternFill patternType="solid">
        <fgColor rgb="FF000000"/>
        <bgColor rgb="FF000000"/>
      </patternFill>
    </fill>
    <fill>
      <patternFill patternType="solid">
        <fgColor rgb="FFD0E0E3"/>
        <bgColor rgb="FFD0E0E3"/>
      </patternFill>
    </fill>
    <fill>
      <patternFill patternType="solid">
        <fgColor rgb="FF980000"/>
        <bgColor rgb="FF980000"/>
      </patternFill>
    </fill>
    <fill>
      <patternFill patternType="solid">
        <fgColor rgb="FFE0F7FA"/>
        <bgColor rgb="FFE0F7FA"/>
      </patternFill>
    </fill>
    <fill>
      <patternFill patternType="solid">
        <fgColor rgb="FFA2E8F1"/>
        <bgColor rgb="FFA2E8F1"/>
      </patternFill>
    </fill>
    <fill>
      <patternFill patternType="solid">
        <fgColor rgb="FFFF0000"/>
        <bgColor rgb="FFFF000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4A86E8"/>
        <bgColor rgb="FF4A86E8"/>
      </patternFill>
    </fill>
    <fill>
      <patternFill patternType="solid">
        <fgColor rgb="FF666666"/>
        <bgColor rgb="FF666666"/>
      </patternFill>
    </fill>
    <fill>
      <patternFill patternType="solid">
        <fgColor rgb="FF0000FF"/>
        <bgColor rgb="FF0000FF"/>
      </patternFill>
    </fill>
    <fill>
      <patternFill patternType="solid">
        <fgColor rgb="FF9900FF"/>
        <bgColor rgb="FF9900FF"/>
      </patternFill>
    </fill>
    <fill>
      <patternFill patternType="solid">
        <fgColor rgb="FFFF00FF"/>
        <bgColor rgb="FFFF00FF"/>
      </patternFill>
    </fill>
    <fill>
      <patternFill patternType="solid">
        <fgColor rgb="FF5B3F86"/>
        <bgColor rgb="FF5B3F86"/>
      </patternFill>
    </fill>
    <fill>
      <patternFill patternType="solid">
        <fgColor rgb="FF7F6000"/>
        <bgColor rgb="FF7F6000"/>
      </patternFill>
    </fill>
    <fill>
      <patternFill patternType="solid">
        <fgColor rgb="FF741B47"/>
        <bgColor rgb="FF741B47"/>
      </patternFill>
    </fill>
    <fill>
      <patternFill patternType="solid">
        <fgColor rgb="FF351C75"/>
        <bgColor rgb="FF351C75"/>
      </patternFill>
    </fill>
    <fill>
      <patternFill patternType="solid">
        <fgColor rgb="FF0B5394"/>
        <bgColor rgb="FF0B5394"/>
      </patternFill>
    </fill>
    <fill>
      <patternFill patternType="solid">
        <fgColor rgb="FF1155CC"/>
        <bgColor rgb="FF1155CC"/>
      </patternFill>
    </fill>
    <fill>
      <patternFill patternType="solid">
        <fgColor rgb="FFB7B7B7"/>
        <bgColor rgb="FFB7B7B7"/>
      </patternFill>
    </fill>
    <fill>
      <patternFill patternType="solid">
        <fgColor rgb="FF990000"/>
        <bgColor rgb="FF990000"/>
      </patternFill>
    </fill>
    <fill>
      <patternFill patternType="solid">
        <fgColor rgb="FF134F5C"/>
        <bgColor rgb="FF134F5C"/>
      </patternFill>
    </fill>
    <fill>
      <patternFill patternType="solid">
        <fgColor rgb="FF38761D"/>
        <bgColor rgb="FF38761D"/>
      </patternFill>
    </fill>
    <fill>
      <patternFill patternType="solid">
        <fgColor rgb="FFBF9000"/>
        <bgColor rgb="FFBF9000"/>
      </patternFill>
    </fill>
    <fill>
      <patternFill patternType="solid">
        <fgColor rgb="FFB45F06"/>
        <bgColor rgb="FFB45F06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F1C232"/>
        <bgColor rgb="FFF1C232"/>
      </patternFill>
    </fill>
    <fill>
      <patternFill patternType="solid">
        <fgColor rgb="FFFFE599"/>
        <bgColor rgb="FFFFE599"/>
      </patternFill>
    </fill>
    <fill>
      <patternFill patternType="solid">
        <fgColor rgb="FFEAD1DC"/>
        <bgColor rgb="FFEAD1DC"/>
      </patternFill>
    </fill>
    <fill>
      <patternFill patternType="solid">
        <fgColor rgb="FFF5F5F5"/>
        <bgColor rgb="FFF5F5F5"/>
      </patternFill>
    </fill>
  </fills>
  <borders count="6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1"/>
    </xf>
    <xf numFmtId="0" fontId="6" fillId="3" borderId="3" xfId="0" applyFont="1" applyFill="1" applyBorder="1" applyAlignment="1">
      <alignment horizontal="right" vertical="center" readingOrder="1"/>
    </xf>
    <xf numFmtId="0" fontId="6" fillId="3" borderId="1" xfId="0" applyFont="1" applyFill="1" applyBorder="1" applyAlignment="1">
      <alignment horizontal="right" vertical="center" readingOrder="1"/>
    </xf>
    <xf numFmtId="0" fontId="7" fillId="0" borderId="4" xfId="0" applyFont="1" applyBorder="1"/>
    <xf numFmtId="0" fontId="8" fillId="3" borderId="3" xfId="0" applyFont="1" applyFill="1" applyBorder="1" applyAlignment="1">
      <alignment horizontal="right" vertical="center" readingOrder="1"/>
    </xf>
    <xf numFmtId="0" fontId="8" fillId="3" borderId="1" xfId="0" applyFont="1" applyFill="1" applyBorder="1" applyAlignment="1">
      <alignment horizontal="right" vertical="center" readingOrder="1"/>
    </xf>
    <xf numFmtId="0" fontId="9" fillId="0" borderId="1" xfId="0" applyFont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 readingOrder="1"/>
    </xf>
    <xf numFmtId="0" fontId="7" fillId="0" borderId="6" xfId="0" applyFont="1" applyBorder="1"/>
    <xf numFmtId="0" fontId="10" fillId="0" borderId="1" xfId="0" applyFont="1" applyBorder="1" applyAlignment="1">
      <alignment horizontal="right" vertical="center"/>
    </xf>
    <xf numFmtId="0" fontId="9" fillId="4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center" vertical="center" readingOrder="1"/>
    </xf>
    <xf numFmtId="0" fontId="4" fillId="5" borderId="1" xfId="0" applyFont="1" applyFill="1" applyBorder="1" applyAlignment="1">
      <alignment horizontal="right" vertical="center" readingOrder="1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readingOrder="1"/>
    </xf>
    <xf numFmtId="0" fontId="11" fillId="0" borderId="1" xfId="0" applyFont="1" applyBorder="1" applyAlignment="1">
      <alignment horizontal="right" vertical="center" readingOrder="1"/>
    </xf>
    <xf numFmtId="0" fontId="11" fillId="0" borderId="3" xfId="0" applyFont="1" applyBorder="1" applyAlignment="1">
      <alignment horizontal="center" vertical="center" readingOrder="1"/>
    </xf>
    <xf numFmtId="0" fontId="9" fillId="0" borderId="3" xfId="0" applyFont="1" applyBorder="1" applyAlignment="1">
      <alignment horizontal="right" vertical="center" readingOrder="1"/>
    </xf>
    <xf numFmtId="0" fontId="9" fillId="0" borderId="1" xfId="0" applyFont="1" applyBorder="1" applyAlignment="1">
      <alignment horizontal="right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5" xfId="0" applyFont="1" applyBorder="1" applyAlignment="1">
      <alignment horizontal="right" vertical="center" readingOrder="1"/>
    </xf>
    <xf numFmtId="0" fontId="9" fillId="4" borderId="3" xfId="0" applyFont="1" applyFill="1" applyBorder="1" applyAlignment="1">
      <alignment horizontal="right" vertical="center" readingOrder="1"/>
    </xf>
    <xf numFmtId="0" fontId="9" fillId="4" borderId="1" xfId="0" applyFont="1" applyFill="1" applyBorder="1" applyAlignment="1">
      <alignment horizontal="right" vertical="center" readingOrder="1"/>
    </xf>
    <xf numFmtId="0" fontId="9" fillId="4" borderId="3" xfId="0" applyFont="1" applyFill="1" applyBorder="1" applyAlignment="1">
      <alignment horizontal="center" vertical="center" readingOrder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right" vertical="center" readingOrder="1"/>
    </xf>
    <xf numFmtId="0" fontId="14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 readingOrder="1"/>
    </xf>
    <xf numFmtId="0" fontId="14" fillId="2" borderId="7" xfId="0" applyFont="1" applyFill="1" applyBorder="1" applyAlignment="1">
      <alignment horizontal="center" vertical="center" readingOrder="1"/>
    </xf>
    <xf numFmtId="0" fontId="7" fillId="0" borderId="8" xfId="0" applyFont="1" applyBorder="1"/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right" vertical="center"/>
    </xf>
    <xf numFmtId="1" fontId="15" fillId="0" borderId="4" xfId="0" applyNumberFormat="1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right" vertical="center" readingOrder="1"/>
    </xf>
    <xf numFmtId="0" fontId="16" fillId="3" borderId="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 readingOrder="1"/>
    </xf>
    <xf numFmtId="0" fontId="14" fillId="5" borderId="1" xfId="0" applyFont="1" applyFill="1" applyBorder="1" applyAlignment="1">
      <alignment horizontal="center" vertical="center" readingOrder="1"/>
    </xf>
    <xf numFmtId="0" fontId="14" fillId="5" borderId="7" xfId="0" applyFont="1" applyFill="1" applyBorder="1" applyAlignment="1">
      <alignment horizontal="center" vertical="center" readingOrder="1"/>
    </xf>
    <xf numFmtId="0" fontId="14" fillId="6" borderId="9" xfId="0" applyFont="1" applyFill="1" applyBorder="1" applyAlignment="1">
      <alignment horizontal="center" vertical="center" readingOrder="1"/>
    </xf>
    <xf numFmtId="0" fontId="14" fillId="6" borderId="10" xfId="0" applyFont="1" applyFill="1" applyBorder="1" applyAlignment="1">
      <alignment horizontal="center" vertical="center" wrapText="1" readingOrder="1"/>
    </xf>
    <xf numFmtId="0" fontId="14" fillId="5" borderId="10" xfId="0" applyFont="1" applyFill="1" applyBorder="1" applyAlignment="1">
      <alignment horizontal="center" vertical="center" wrapText="1" readingOrder="1"/>
    </xf>
    <xf numFmtId="0" fontId="14" fillId="7" borderId="10" xfId="0" applyFont="1" applyFill="1" applyBorder="1" applyAlignment="1">
      <alignment horizontal="center" vertical="center" wrapText="1" readingOrder="1"/>
    </xf>
    <xf numFmtId="0" fontId="14" fillId="4" borderId="10" xfId="0" applyFont="1" applyFill="1" applyBorder="1" applyAlignment="1">
      <alignment horizontal="center" vertical="center" wrapText="1" readingOrder="1"/>
    </xf>
    <xf numFmtId="0" fontId="14" fillId="8" borderId="10" xfId="0" applyFont="1" applyFill="1" applyBorder="1" applyAlignment="1">
      <alignment horizontal="center" vertical="center" wrapText="1" readingOrder="1"/>
    </xf>
    <xf numFmtId="0" fontId="19" fillId="9" borderId="10" xfId="0" applyFont="1" applyFill="1" applyBorder="1" applyAlignment="1">
      <alignment horizontal="center" vertical="center" wrapText="1" readingOrder="1"/>
    </xf>
    <xf numFmtId="0" fontId="14" fillId="6" borderId="11" xfId="0" applyFont="1" applyFill="1" applyBorder="1" applyAlignment="1">
      <alignment horizontal="center" vertical="center" wrapText="1" readingOrder="1"/>
    </xf>
    <xf numFmtId="0" fontId="20" fillId="4" borderId="12" xfId="0" applyFont="1" applyFill="1" applyBorder="1" applyAlignment="1">
      <alignment horizontal="center" vertical="center"/>
    </xf>
    <xf numFmtId="1" fontId="6" fillId="4" borderId="4" xfId="0" applyNumberFormat="1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1" fontId="6" fillId="10" borderId="0" xfId="0" applyNumberFormat="1" applyFont="1" applyFill="1" applyAlignment="1">
      <alignment horizontal="center" vertical="center" wrapText="1"/>
    </xf>
    <xf numFmtId="1" fontId="6" fillId="10" borderId="12" xfId="0" applyNumberFormat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wrapText="1"/>
    </xf>
    <xf numFmtId="0" fontId="22" fillId="4" borderId="4" xfId="0" applyFont="1" applyFill="1" applyBorder="1" applyAlignment="1">
      <alignment horizontal="center"/>
    </xf>
    <xf numFmtId="0" fontId="23" fillId="11" borderId="14" xfId="0" applyFont="1" applyFill="1" applyBorder="1" applyAlignment="1">
      <alignment horizontal="center" vertical="center" textRotation="90" readingOrder="1"/>
    </xf>
    <xf numFmtId="0" fontId="24" fillId="3" borderId="6" xfId="0" applyFont="1" applyFill="1" applyBorder="1" applyAlignment="1">
      <alignment horizontal="right" vertical="center" readingOrder="1"/>
    </xf>
    <xf numFmtId="0" fontId="24" fillId="3" borderId="4" xfId="0" applyFont="1" applyFill="1" applyBorder="1" applyAlignment="1">
      <alignment horizontal="right" vertical="center" readingOrder="1"/>
    </xf>
    <xf numFmtId="0" fontId="20" fillId="4" borderId="15" xfId="0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1" fontId="6" fillId="12" borderId="0" xfId="0" applyNumberFormat="1" applyFont="1" applyFill="1" applyAlignment="1">
      <alignment horizontal="center" vertical="center" wrapText="1"/>
    </xf>
    <xf numFmtId="1" fontId="6" fillId="10" borderId="15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/>
    </xf>
    <xf numFmtId="0" fontId="7" fillId="0" borderId="14" xfId="0" applyFont="1" applyBorder="1"/>
    <xf numFmtId="0" fontId="24" fillId="3" borderId="8" xfId="0" applyFont="1" applyFill="1" applyBorder="1" applyAlignment="1">
      <alignment horizontal="right" vertical="center" readingOrder="1"/>
    </xf>
    <xf numFmtId="0" fontId="24" fillId="3" borderId="1" xfId="0" applyFont="1" applyFill="1" applyBorder="1" applyAlignment="1">
      <alignment horizontal="right" vertical="center" readingOrder="1"/>
    </xf>
    <xf numFmtId="1" fontId="6" fillId="13" borderId="0" xfId="0" applyNumberFormat="1" applyFont="1" applyFill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1" fontId="6" fillId="0" borderId="0" xfId="0" applyNumberFormat="1" applyFont="1" applyAlignment="1">
      <alignment horizontal="center" vertical="center" wrapText="1"/>
    </xf>
    <xf numFmtId="0" fontId="16" fillId="3" borderId="8" xfId="0" applyFont="1" applyFill="1" applyBorder="1" applyAlignment="1">
      <alignment horizontal="right" readingOrder="1"/>
    </xf>
    <xf numFmtId="0" fontId="16" fillId="3" borderId="1" xfId="0" applyFont="1" applyFill="1" applyBorder="1" applyAlignment="1">
      <alignment horizontal="right" readingOrder="1"/>
    </xf>
    <xf numFmtId="0" fontId="16" fillId="3" borderId="1" xfId="0" applyFont="1" applyFill="1" applyBorder="1" applyAlignment="1">
      <alignment horizontal="right"/>
    </xf>
    <xf numFmtId="0" fontId="20" fillId="4" borderId="16" xfId="0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1" fontId="6" fillId="10" borderId="16" xfId="0" applyNumberFormat="1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1" fontId="6" fillId="10" borderId="19" xfId="0" applyNumberFormat="1" applyFont="1" applyFill="1" applyBorder="1" applyAlignment="1">
      <alignment horizontal="center" vertical="center" wrapText="1"/>
    </xf>
    <xf numFmtId="0" fontId="25" fillId="0" borderId="20" xfId="0" applyFont="1" applyBorder="1" applyAlignment="1">
      <alignment horizontal="center" wrapText="1"/>
    </xf>
    <xf numFmtId="0" fontId="8" fillId="0" borderId="20" xfId="0" applyFont="1" applyBorder="1" applyAlignment="1">
      <alignment horizontal="center"/>
    </xf>
    <xf numFmtId="0" fontId="23" fillId="14" borderId="22" xfId="0" applyFont="1" applyFill="1" applyBorder="1" applyAlignment="1">
      <alignment horizontal="center" vertical="center" textRotation="90" readingOrder="1"/>
    </xf>
    <xf numFmtId="0" fontId="20" fillId="0" borderId="15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0" fillId="0" borderId="23" xfId="0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25" fillId="0" borderId="17" xfId="0" applyFont="1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7" fillId="0" borderId="25" xfId="0" applyFont="1" applyBorder="1"/>
    <xf numFmtId="0" fontId="25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15" borderId="14" xfId="0" applyFont="1" applyFill="1" applyBorder="1" applyAlignment="1">
      <alignment horizontal="center" vertical="center" textRotation="90" readingOrder="1"/>
    </xf>
    <xf numFmtId="0" fontId="24" fillId="3" borderId="1" xfId="0" applyFont="1" applyFill="1" applyBorder="1" applyAlignment="1">
      <alignment horizontal="right" vertical="center"/>
    </xf>
    <xf numFmtId="0" fontId="20" fillId="0" borderId="16" xfId="0" applyFont="1" applyBorder="1" applyAlignment="1">
      <alignment horizontal="center" vertical="center"/>
    </xf>
    <xf numFmtId="1" fontId="6" fillId="0" borderId="17" xfId="0" applyNumberFormat="1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1" fontId="6" fillId="10" borderId="23" xfId="0" applyNumberFormat="1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7" fillId="0" borderId="26" xfId="0" applyFont="1" applyBorder="1"/>
    <xf numFmtId="0" fontId="20" fillId="0" borderId="12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8" fillId="5" borderId="22" xfId="0" applyFont="1" applyFill="1" applyBorder="1" applyAlignment="1">
      <alignment horizontal="center" vertical="center" textRotation="90" readingOrder="1"/>
    </xf>
    <xf numFmtId="0" fontId="8" fillId="16" borderId="14" xfId="0" applyFont="1" applyFill="1" applyBorder="1" applyAlignment="1">
      <alignment horizontal="center" vertical="center" textRotation="90" readingOrder="1"/>
    </xf>
    <xf numFmtId="0" fontId="25" fillId="4" borderId="1" xfId="0" applyFont="1" applyFill="1" applyBorder="1" applyAlignment="1">
      <alignment horizontal="center" wrapText="1"/>
    </xf>
    <xf numFmtId="0" fontId="25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25" fillId="4" borderId="20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/>
    </xf>
    <xf numFmtId="0" fontId="8" fillId="17" borderId="22" xfId="0" applyFont="1" applyFill="1" applyBorder="1" applyAlignment="1">
      <alignment horizontal="center" vertical="center" textRotation="90" readingOrder="1"/>
    </xf>
    <xf numFmtId="0" fontId="25" fillId="4" borderId="17" xfId="0" applyFont="1" applyFill="1" applyBorder="1" applyAlignment="1">
      <alignment horizontal="center" wrapText="1"/>
    </xf>
    <xf numFmtId="0" fontId="20" fillId="18" borderId="16" xfId="0" applyFont="1" applyFill="1" applyBorder="1" applyAlignment="1">
      <alignment horizontal="center" vertical="center"/>
    </xf>
    <xf numFmtId="0" fontId="6" fillId="18" borderId="17" xfId="0" applyFont="1" applyFill="1" applyBorder="1" applyAlignment="1">
      <alignment horizontal="center"/>
    </xf>
    <xf numFmtId="1" fontId="6" fillId="18" borderId="27" xfId="0" applyNumberFormat="1" applyFont="1" applyFill="1" applyBorder="1" applyAlignment="1">
      <alignment horizontal="center" vertical="center" wrapText="1"/>
    </xf>
    <xf numFmtId="0" fontId="25" fillId="18" borderId="2" xfId="0" applyFont="1" applyFill="1" applyBorder="1" applyAlignment="1">
      <alignment horizontal="center" wrapText="1"/>
    </xf>
    <xf numFmtId="0" fontId="8" fillId="18" borderId="2" xfId="0" applyFont="1" applyFill="1" applyBorder="1" applyAlignment="1">
      <alignment horizontal="center"/>
    </xf>
    <xf numFmtId="0" fontId="8" fillId="18" borderId="26" xfId="0" applyFont="1" applyFill="1" applyBorder="1" applyAlignment="1">
      <alignment horizontal="center" vertical="center" textRotation="90"/>
    </xf>
    <xf numFmtId="0" fontId="24" fillId="18" borderId="8" xfId="0" applyFont="1" applyFill="1" applyBorder="1" applyAlignment="1">
      <alignment horizontal="right" vertical="center"/>
    </xf>
    <xf numFmtId="0" fontId="24" fillId="18" borderId="1" xfId="0" applyFont="1" applyFill="1" applyBorder="1" applyAlignment="1">
      <alignment horizontal="right" vertical="center"/>
    </xf>
    <xf numFmtId="0" fontId="23" fillId="19" borderId="14" xfId="0" applyFont="1" applyFill="1" applyBorder="1" applyAlignment="1">
      <alignment horizontal="center" vertical="center" textRotation="90" readingOrder="1"/>
    </xf>
    <xf numFmtId="0" fontId="25" fillId="4" borderId="4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/>
    </xf>
    <xf numFmtId="0" fontId="23" fillId="20" borderId="14" xfId="0" applyFont="1" applyFill="1" applyBorder="1" applyAlignment="1">
      <alignment horizontal="center" vertical="center" textRotation="90" readingOrder="1"/>
    </xf>
    <xf numFmtId="1" fontId="6" fillId="10" borderId="28" xfId="0" applyNumberFormat="1" applyFont="1" applyFill="1" applyBorder="1" applyAlignment="1">
      <alignment horizontal="center" vertical="center" wrapText="1"/>
    </xf>
    <xf numFmtId="0" fontId="25" fillId="4" borderId="29" xfId="0" applyFont="1" applyFill="1" applyBorder="1" applyAlignment="1">
      <alignment horizontal="center" wrapText="1"/>
    </xf>
    <xf numFmtId="0" fontId="8" fillId="4" borderId="28" xfId="0" applyFont="1" applyFill="1" applyBorder="1" applyAlignment="1">
      <alignment horizontal="center"/>
    </xf>
    <xf numFmtId="0" fontId="8" fillId="21" borderId="30" xfId="0" applyFont="1" applyFill="1" applyBorder="1" applyAlignment="1">
      <alignment horizontal="center" vertical="center" textRotation="90" readingOrder="1"/>
    </xf>
    <xf numFmtId="1" fontId="6" fillId="10" borderId="31" xfId="0" applyNumberFormat="1" applyFont="1" applyFill="1" applyBorder="1" applyAlignment="1">
      <alignment horizontal="center" vertical="center" wrapText="1"/>
    </xf>
    <xf numFmtId="0" fontId="25" fillId="4" borderId="32" xfId="0" applyFont="1" applyFill="1" applyBorder="1" applyAlignment="1">
      <alignment horizontal="center" wrapText="1"/>
    </xf>
    <xf numFmtId="0" fontId="8" fillId="4" borderId="31" xfId="0" applyFont="1" applyFill="1" applyBorder="1" applyAlignment="1">
      <alignment horizontal="center"/>
    </xf>
    <xf numFmtId="0" fontId="7" fillId="0" borderId="33" xfId="0" applyFont="1" applyBorder="1"/>
    <xf numFmtId="0" fontId="25" fillId="4" borderId="34" xfId="0" applyFont="1" applyFill="1" applyBorder="1" applyAlignment="1">
      <alignment horizontal="center" wrapText="1"/>
    </xf>
    <xf numFmtId="0" fontId="7" fillId="0" borderId="35" xfId="0" applyFont="1" applyBorder="1"/>
    <xf numFmtId="0" fontId="8" fillId="2" borderId="30" xfId="0" applyFont="1" applyFill="1" applyBorder="1" applyAlignment="1">
      <alignment horizontal="center" vertical="center" textRotation="90" readingOrder="1"/>
    </xf>
    <xf numFmtId="1" fontId="6" fillId="10" borderId="36" xfId="0" applyNumberFormat="1" applyFont="1" applyFill="1" applyBorder="1" applyAlignment="1">
      <alignment horizontal="center" vertical="center" wrapText="1"/>
    </xf>
    <xf numFmtId="0" fontId="8" fillId="4" borderId="36" xfId="0" applyFont="1" applyFill="1" applyBorder="1" applyAlignment="1">
      <alignment horizontal="center"/>
    </xf>
    <xf numFmtId="0" fontId="20" fillId="0" borderId="12" xfId="0" applyFont="1" applyBorder="1" applyAlignment="1">
      <alignment horizontal="center" vertical="center" readingOrder="1"/>
    </xf>
    <xf numFmtId="0" fontId="8" fillId="7" borderId="14" xfId="0" applyFont="1" applyFill="1" applyBorder="1" applyAlignment="1">
      <alignment horizontal="center" vertical="center" textRotation="90" readingOrder="1"/>
    </xf>
    <xf numFmtId="0" fontId="20" fillId="0" borderId="15" xfId="0" applyFont="1" applyBorder="1" applyAlignment="1">
      <alignment horizontal="center" vertical="center" readingOrder="1"/>
    </xf>
    <xf numFmtId="0" fontId="20" fillId="0" borderId="23" xfId="0" applyFont="1" applyBorder="1" applyAlignment="1">
      <alignment horizontal="center" vertical="center" readingOrder="1"/>
    </xf>
    <xf numFmtId="0" fontId="20" fillId="0" borderId="19" xfId="0" applyFont="1" applyBorder="1" applyAlignment="1">
      <alignment horizontal="center" vertical="center" readingOrder="1"/>
    </xf>
    <xf numFmtId="0" fontId="23" fillId="22" borderId="22" xfId="0" applyFont="1" applyFill="1" applyBorder="1" applyAlignment="1">
      <alignment horizontal="center" vertical="center" textRotation="90" readingOrder="1"/>
    </xf>
    <xf numFmtId="0" fontId="20" fillId="0" borderId="16" xfId="0" applyFont="1" applyBorder="1" applyAlignment="1">
      <alignment horizontal="center" vertical="center" readingOrder="1"/>
    </xf>
    <xf numFmtId="0" fontId="19" fillId="23" borderId="28" xfId="0" applyFont="1" applyFill="1" applyBorder="1" applyAlignment="1">
      <alignment horizontal="center" vertical="center" readingOrder="1"/>
    </xf>
    <xf numFmtId="0" fontId="26" fillId="8" borderId="37" xfId="0" applyFont="1" applyFill="1" applyBorder="1" applyAlignment="1">
      <alignment horizontal="center" vertical="center"/>
    </xf>
    <xf numFmtId="0" fontId="19" fillId="24" borderId="38" xfId="0" applyFont="1" applyFill="1" applyBorder="1" applyAlignment="1">
      <alignment horizontal="center" vertical="center" wrapText="1" readingOrder="1"/>
    </xf>
    <xf numFmtId="0" fontId="19" fillId="25" borderId="38" xfId="0" applyFont="1" applyFill="1" applyBorder="1" applyAlignment="1">
      <alignment horizontal="center" vertical="center" wrapText="1" readingOrder="1"/>
    </xf>
    <xf numFmtId="0" fontId="19" fillId="26" borderId="38" xfId="0" applyFont="1" applyFill="1" applyBorder="1" applyAlignment="1">
      <alignment horizontal="center" vertical="center" wrapText="1" readingOrder="1"/>
    </xf>
    <xf numFmtId="0" fontId="19" fillId="27" borderId="39" xfId="0" applyFont="1" applyFill="1" applyBorder="1" applyAlignment="1">
      <alignment horizontal="center" vertical="center" wrapText="1" readingOrder="1"/>
    </xf>
    <xf numFmtId="0" fontId="14" fillId="28" borderId="40" xfId="0" applyFont="1" applyFill="1" applyBorder="1" applyAlignment="1">
      <alignment horizontal="center" vertical="center" wrapText="1" readingOrder="1"/>
    </xf>
    <xf numFmtId="0" fontId="7" fillId="0" borderId="41" xfId="0" applyFont="1" applyBorder="1"/>
    <xf numFmtId="0" fontId="7" fillId="0" borderId="30" xfId="0" applyFont="1" applyBorder="1"/>
    <xf numFmtId="0" fontId="19" fillId="29" borderId="30" xfId="0" applyFont="1" applyFill="1" applyBorder="1" applyAlignment="1">
      <alignment horizontal="center" vertical="center" wrapText="1" readingOrder="1"/>
    </xf>
    <xf numFmtId="0" fontId="27" fillId="0" borderId="0" xfId="0" applyFont="1"/>
    <xf numFmtId="0" fontId="28" fillId="0" borderId="31" xfId="0" applyFont="1" applyBorder="1" applyAlignment="1">
      <alignment horizontal="center" vertical="center"/>
    </xf>
    <xf numFmtId="0" fontId="7" fillId="0" borderId="13" xfId="0" applyFont="1" applyBorder="1"/>
    <xf numFmtId="0" fontId="19" fillId="30" borderId="15" xfId="0" applyFont="1" applyFill="1" applyBorder="1" applyAlignment="1">
      <alignment horizontal="center" vertical="center" wrapText="1" readingOrder="1"/>
    </xf>
    <xf numFmtId="0" fontId="19" fillId="31" borderId="1" xfId="0" applyFont="1" applyFill="1" applyBorder="1" applyAlignment="1">
      <alignment horizontal="center" vertical="center" wrapText="1" readingOrder="1"/>
    </xf>
    <xf numFmtId="0" fontId="19" fillId="32" borderId="1" xfId="0" applyFont="1" applyFill="1" applyBorder="1" applyAlignment="1">
      <alignment horizontal="center" vertical="center" wrapText="1" readingOrder="1"/>
    </xf>
    <xf numFmtId="0" fontId="19" fillId="33" borderId="42" xfId="0" applyFont="1" applyFill="1" applyBorder="1" applyAlignment="1">
      <alignment horizontal="center" vertical="center" wrapText="1" readingOrder="1"/>
    </xf>
    <xf numFmtId="0" fontId="7" fillId="0" borderId="43" xfId="0" applyFont="1" applyBorder="1"/>
    <xf numFmtId="0" fontId="19" fillId="23" borderId="36" xfId="0" applyFont="1" applyFill="1" applyBorder="1" applyAlignment="1">
      <alignment horizontal="center" vertical="center" readingOrder="1"/>
    </xf>
    <xf numFmtId="0" fontId="6" fillId="34" borderId="44" xfId="0" applyFont="1" applyFill="1" applyBorder="1" applyAlignment="1">
      <alignment horizontal="center" vertical="center" readingOrder="1"/>
    </xf>
    <xf numFmtId="0" fontId="6" fillId="34" borderId="17" xfId="0" applyFont="1" applyFill="1" applyBorder="1" applyAlignment="1">
      <alignment horizontal="center" vertical="center"/>
    </xf>
    <xf numFmtId="0" fontId="6" fillId="34" borderId="18" xfId="0" applyFont="1" applyFill="1" applyBorder="1" applyAlignment="1">
      <alignment horizontal="center" vertical="center"/>
    </xf>
    <xf numFmtId="0" fontId="6" fillId="34" borderId="16" xfId="0" applyFont="1" applyFill="1" applyBorder="1" applyAlignment="1">
      <alignment horizontal="center" vertical="center"/>
    </xf>
    <xf numFmtId="0" fontId="6" fillId="34" borderId="45" xfId="0" applyFont="1" applyFill="1" applyBorder="1" applyAlignment="1">
      <alignment horizontal="center" vertical="center"/>
    </xf>
    <xf numFmtId="0" fontId="27" fillId="32" borderId="46" xfId="0" applyFont="1" applyFill="1" applyBorder="1" applyAlignment="1">
      <alignment horizontal="center" vertical="center" readingOrder="1"/>
    </xf>
    <xf numFmtId="164" fontId="1" fillId="35" borderId="28" xfId="0" applyNumberFormat="1" applyFont="1" applyFill="1" applyBorder="1"/>
    <xf numFmtId="0" fontId="27" fillId="0" borderId="21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7" fillId="0" borderId="46" xfId="0" applyFont="1" applyBorder="1"/>
    <xf numFmtId="164" fontId="1" fillId="35" borderId="31" xfId="0" applyNumberFormat="1" applyFont="1" applyFill="1" applyBorder="1"/>
    <xf numFmtId="0" fontId="27" fillId="0" borderId="13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7" fillId="0" borderId="50" xfId="0" applyFont="1" applyBorder="1"/>
    <xf numFmtId="0" fontId="27" fillId="36" borderId="51" xfId="0" applyFont="1" applyFill="1" applyBorder="1" applyAlignment="1">
      <alignment horizontal="center" vertical="center" readingOrder="1"/>
    </xf>
    <xf numFmtId="0" fontId="27" fillId="37" borderId="51" xfId="0" applyFont="1" applyFill="1" applyBorder="1" applyAlignment="1">
      <alignment horizontal="center" vertical="center" readingOrder="1"/>
    </xf>
    <xf numFmtId="0" fontId="27" fillId="0" borderId="46" xfId="0" applyFont="1" applyBorder="1" applyAlignment="1">
      <alignment horizontal="center" vertical="center"/>
    </xf>
    <xf numFmtId="0" fontId="27" fillId="5" borderId="51" xfId="0" applyFont="1" applyFill="1" applyBorder="1" applyAlignment="1">
      <alignment horizontal="center" vertical="center" readingOrder="1"/>
    </xf>
    <xf numFmtId="164" fontId="1" fillId="35" borderId="36" xfId="0" applyNumberFormat="1" applyFont="1" applyFill="1" applyBorder="1"/>
    <xf numFmtId="0" fontId="27" fillId="0" borderId="52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6" fillId="15" borderId="54" xfId="0" applyFont="1" applyFill="1" applyBorder="1" applyAlignment="1">
      <alignment horizontal="center" vertical="center" readingOrder="1"/>
    </xf>
    <xf numFmtId="1" fontId="6" fillId="4" borderId="55" xfId="0" applyNumberFormat="1" applyFont="1" applyFill="1" applyBorder="1" applyAlignment="1">
      <alignment horizontal="center" vertical="center"/>
    </xf>
    <xf numFmtId="1" fontId="27" fillId="38" borderId="56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14" fillId="4" borderId="0" xfId="0" applyFont="1" applyFill="1" applyAlignment="1">
      <alignment horizontal="center" vertical="center" readingOrder="1"/>
    </xf>
    <xf numFmtId="0" fontId="14" fillId="3" borderId="0" xfId="0" applyFont="1" applyFill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0" fontId="20" fillId="4" borderId="19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 textRotation="90" readingOrder="1"/>
    </xf>
    <xf numFmtId="0" fontId="7" fillId="0" borderId="57" xfId="0" applyFont="1" applyBorder="1"/>
    <xf numFmtId="0" fontId="6" fillId="3" borderId="1" xfId="0" applyFont="1" applyFill="1" applyBorder="1" applyAlignment="1">
      <alignment horizontal="right" readingOrder="1"/>
    </xf>
    <xf numFmtId="0" fontId="6" fillId="3" borderId="1" xfId="0" applyFont="1" applyFill="1" applyBorder="1" applyAlignment="1">
      <alignment horizontal="right"/>
    </xf>
    <xf numFmtId="0" fontId="7" fillId="0" borderId="52" xfId="0" applyFont="1" applyBorder="1"/>
    <xf numFmtId="0" fontId="8" fillId="3" borderId="1" xfId="0" applyFont="1" applyFill="1" applyBorder="1" applyAlignment="1">
      <alignment horizontal="center" vertical="center" readingOrder="1"/>
    </xf>
    <xf numFmtId="0" fontId="8" fillId="3" borderId="1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 textRotation="90" readingOrder="1"/>
    </xf>
    <xf numFmtId="0" fontId="8" fillId="3" borderId="22" xfId="0" applyFont="1" applyFill="1" applyBorder="1" applyAlignment="1">
      <alignment horizontal="center" vertical="center" textRotation="90" readingOrder="1"/>
    </xf>
    <xf numFmtId="0" fontId="8" fillId="3" borderId="8" xfId="0" applyFont="1" applyFill="1" applyBorder="1" applyAlignment="1">
      <alignment horizontal="center" vertical="center" readingOrder="1"/>
    </xf>
    <xf numFmtId="0" fontId="1" fillId="3" borderId="0" xfId="0" applyFont="1" applyFill="1"/>
    <xf numFmtId="0" fontId="6" fillId="3" borderId="0" xfId="0" applyFont="1" applyFill="1" applyAlignment="1">
      <alignment horizontal="center" textRotation="90"/>
    </xf>
    <xf numFmtId="0" fontId="6" fillId="3" borderId="0" xfId="0" applyFont="1" applyFill="1" applyAlignment="1">
      <alignment horizontal="right"/>
    </xf>
    <xf numFmtId="1" fontId="27" fillId="38" borderId="58" xfId="0" applyNumberFormat="1" applyFont="1" applyFill="1" applyBorder="1" applyAlignment="1">
      <alignment horizontal="center" vertical="center"/>
    </xf>
    <xf numFmtId="164" fontId="6" fillId="35" borderId="59" xfId="0" applyNumberFormat="1" applyFont="1" applyFill="1" applyBorder="1"/>
    <xf numFmtId="164" fontId="27" fillId="35" borderId="59" xfId="0" applyNumberFormat="1" applyFont="1" applyFill="1" applyBorder="1"/>
    <xf numFmtId="0" fontId="27" fillId="35" borderId="32" xfId="0" applyFont="1" applyFill="1" applyBorder="1"/>
    <xf numFmtId="0" fontId="29" fillId="23" borderId="48" xfId="0" applyFont="1" applyFill="1" applyBorder="1" applyAlignment="1">
      <alignment horizontal="center" vertical="center" readingOrder="1"/>
    </xf>
    <xf numFmtId="0" fontId="7" fillId="0" borderId="60" xfId="0" applyFont="1" applyBorder="1"/>
    <xf numFmtId="0" fontId="2" fillId="4" borderId="1" xfId="0" applyFont="1" applyFill="1" applyBorder="1" applyAlignment="1">
      <alignment horizontal="center"/>
    </xf>
    <xf numFmtId="164" fontId="1" fillId="35" borderId="50" xfId="0" applyNumberFormat="1" applyFont="1" applyFill="1" applyBorder="1"/>
    <xf numFmtId="165" fontId="1" fillId="35" borderId="50" xfId="0" applyNumberFormat="1" applyFont="1" applyFill="1" applyBorder="1"/>
    <xf numFmtId="166" fontId="1" fillId="35" borderId="50" xfId="0" applyNumberFormat="1" applyFont="1" applyFill="1" applyBorder="1"/>
    <xf numFmtId="164" fontId="2" fillId="39" borderId="1" xfId="0" applyNumberFormat="1" applyFont="1" applyFill="1" applyBorder="1" applyAlignment="1">
      <alignment horizontal="center"/>
    </xf>
    <xf numFmtId="0" fontId="29" fillId="23" borderId="48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21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9" xfId="0" applyFont="1" applyBorder="1"/>
    <xf numFmtId="0" fontId="1" fillId="0" borderId="46" xfId="0" applyFont="1" applyBorder="1"/>
    <xf numFmtId="164" fontId="1" fillId="35" borderId="60" xfId="0" applyNumberFormat="1" applyFont="1" applyFill="1" applyBorder="1"/>
    <xf numFmtId="0" fontId="1" fillId="0" borderId="52" xfId="0" applyFont="1" applyBorder="1"/>
    <xf numFmtId="0" fontId="1" fillId="0" borderId="53" xfId="0" applyFont="1" applyBorder="1"/>
    <xf numFmtId="0" fontId="6" fillId="34" borderId="44" xfId="0" applyFont="1" applyFill="1" applyBorder="1" applyAlignment="1">
      <alignment horizontal="center" vertical="center"/>
    </xf>
    <xf numFmtId="0" fontId="27" fillId="37" borderId="51" xfId="0" applyFont="1" applyFill="1" applyBorder="1" applyAlignment="1">
      <alignment horizontal="center" vertical="center"/>
    </xf>
    <xf numFmtId="0" fontId="30" fillId="23" borderId="48" xfId="0" applyFont="1" applyFill="1" applyBorder="1" applyAlignment="1">
      <alignment horizontal="center" vertical="center" readingOrder="1"/>
    </xf>
    <xf numFmtId="0" fontId="6" fillId="34" borderId="5" xfId="0" applyFont="1" applyFill="1" applyBorder="1" applyAlignment="1">
      <alignment horizontal="center" vertical="center" readingOrder="1"/>
    </xf>
    <xf numFmtId="0" fontId="27" fillId="32" borderId="61" xfId="0" applyFont="1" applyFill="1" applyBorder="1" applyAlignment="1">
      <alignment horizontal="center" vertical="center" readingOrder="1"/>
    </xf>
    <xf numFmtId="0" fontId="7" fillId="0" borderId="61" xfId="0" applyFont="1" applyBorder="1"/>
    <xf numFmtId="0" fontId="7" fillId="0" borderId="49" xfId="0" applyFont="1" applyBorder="1"/>
    <xf numFmtId="0" fontId="27" fillId="36" borderId="62" xfId="0" applyFont="1" applyFill="1" applyBorder="1" applyAlignment="1">
      <alignment horizontal="center" vertical="center" readingOrder="1"/>
    </xf>
    <xf numFmtId="0" fontId="27" fillId="37" borderId="62" xfId="0" applyFont="1" applyFill="1" applyBorder="1" applyAlignment="1">
      <alignment horizontal="center" vertical="center" readingOrder="1"/>
    </xf>
    <xf numFmtId="0" fontId="27" fillId="5" borderId="62" xfId="0" applyFont="1" applyFill="1" applyBorder="1" applyAlignment="1">
      <alignment horizontal="center" vertical="center" readingOrder="1"/>
    </xf>
    <xf numFmtId="1" fontId="6" fillId="4" borderId="63" xfId="0" applyNumberFormat="1" applyFont="1" applyFill="1" applyBorder="1" applyAlignment="1">
      <alignment horizontal="center" vertical="center"/>
    </xf>
    <xf numFmtId="0" fontId="1" fillId="0" borderId="0" xfId="0" applyFont="1"/>
    <xf numFmtId="0" fontId="29" fillId="23" borderId="46" xfId="0" applyFont="1" applyFill="1" applyBorder="1" applyAlignment="1">
      <alignment horizontal="center" vertical="center"/>
    </xf>
    <xf numFmtId="0" fontId="29" fillId="23" borderId="60" xfId="0" applyFont="1" applyFill="1" applyBorder="1" applyAlignment="1">
      <alignment horizontal="center" vertical="center"/>
    </xf>
    <xf numFmtId="164" fontId="1" fillId="35" borderId="31" xfId="0" applyNumberFormat="1" applyFont="1" applyFill="1" applyBorder="1" applyAlignment="1">
      <alignment horizontal="right" vertical="bottom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Relationship Id="rId80" Type="http://schemas.openxmlformats.org/officeDocument/2006/relationships/worksheet" Target="worksheets/sheet77.xml"/><Relationship Id="rId81" Type="http://schemas.openxmlformats.org/officeDocument/2006/relationships/worksheet" Target="worksheets/sheet78.xml"/><Relationship Id="rId82" Type="http://schemas.openxmlformats.org/officeDocument/2006/relationships/worksheet" Target="worksheets/sheet79.xml"/><Relationship Id="rId83" Type="http://schemas.openxmlformats.org/officeDocument/2006/relationships/worksheet" Target="worksheets/sheet80.xml"/><Relationship Id="rId84" Type="http://schemas.openxmlformats.org/officeDocument/2006/relationships/worksheet" Target="worksheets/sheet81.xml"/><Relationship Id="rId85" Type="http://schemas.openxmlformats.org/officeDocument/2006/relationships/worksheet" Target="worksheets/sheet82.xml"/><Relationship Id="rId86" Type="http://schemas.openxmlformats.org/officeDocument/2006/relationships/worksheet" Target="worksheets/sheet83.xml"/><Relationship Id="rId87" Type="http://schemas.openxmlformats.org/officeDocument/2006/relationships/worksheet" Target="worksheets/sheet84.xml"/><Relationship Id="rId88" Type="http://schemas.openxmlformats.org/officeDocument/2006/relationships/worksheet" Target="worksheets/sheet85.xml"/><Relationship Id="rId89" Type="http://schemas.openxmlformats.org/officeDocument/2006/relationships/worksheet" Target="worksheets/sheet86.xml"/><Relationship Id="rId90" Type="http://schemas.openxmlformats.org/officeDocument/2006/relationships/worksheet" Target="worksheets/sheet87.xml"/><Relationship Id="rId91" Type="http://schemas.openxmlformats.org/officeDocument/2006/relationships/worksheet" Target="worksheets/sheet88.xml"/><Relationship Id="rId92" Type="http://schemas.openxmlformats.org/officeDocument/2006/relationships/worksheet" Target="worksheets/sheet8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1" displayName="Table_1" ref="A1:B1" totalsRowShown="1" headerRowCount="0">
  <autoFilter>
    <filterColumn colId="0" hiddenButton="1"/>
    <filterColumn colId="1" hiddenButton="1"/>
  </autoFilter>
  <tableColumns count="2">
    <tableColumn id="1" name="Column1"/>
    <tableColumn id="2" name="Column2"/>
  </tableColumns>
  <tableStyleInfo name="Form Responses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Table_2" displayName="Table_2" ref="A5:C7" totalsRowCount="1" headerRowCount="0">
  <autoFilter>
    <filterColumn colId="0" hiddenButton="1"/>
    <filterColumn colId="1" hiddenButton="1"/>
    <filterColumn colId="2" hiddenButton="1"/>
  </autoFilter>
  <tableColumns count="3">
    <tableColumn id="1" name="Column1" totalsRowFunction="custom"/>
    <tableColumn id="2" name="Column2" totalsRowFunction="custom"/>
    <tableColumn id="3" name="Column3" totalsRowFunction="custom"/>
  </tableColumns>
  <tableStyleInfo name="بيان النتائج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Table_3" displayName="Table_3" ref="A5:A7" totalsRowCount="1" headerRowCount="0">
  <autoFilter>
    <filterColumn colId="0" hiddenButton="1"/>
  </autoFilter>
  <tableColumns count="1">
    <tableColumn id="1" name="Column1" totalsRowFunction="custom"/>
  </tableColumns>
  <tableStyleInfo name="أسماء المشرفين والأولياء والرؤس-style" showFirstColumn="1" showLastColumn="1" showRowStripes="1" showColumnStripes="0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3.xml.rels><?xml version="1.0" encoding="UTF-8" standalone="yes"?>
<Relationships xmlns="http://schemas.openxmlformats.org/package/2006/relationships"><Relationship Id="rId1" Type="http://schemas.openxmlformats.org/officeDocument/2006/relationships/comments" Target="../comments23.xml"/><Relationship Id="rId2" Type="http://schemas.openxmlformats.org/officeDocument/2006/relationships/vmlDrawing" Target="../drawings/vmlDrawing23.v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vmlDrawing" Target="../drawings/vmlDrawing4.v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1000"/>
  <sheetViews>
    <sheetView workbookViewId="0" zoomScale="100" zoomScaleNormal="100">
      <pane ySplit="1" topLeftCell="A2" activePane="bottomLeft" state="frozen"/>
      <selection pane="bottomLeft" activeCell="B3" sqref="B3"/>
    </sheetView>
  </sheetViews>
  <sheetFormatPr defaultRowHeight="15" outlineLevelRow="0" outlineLevelCol="0" x14ac:dyDescent="0" defaultColWidth="12.63"/>
  <cols>
    <col min="1" max="6" width="18.88" customWidth="1"/>
  </cols>
  <sheetData>
    <row r="1" ht="22.5" customHeight="1" spans="1:2" x14ac:dyDescent="0.25">
      <c r="A1" s="1" t="s">
        <v>0</v>
      </c>
      <c r="B1" s="1" t="s">
        <v>1</v>
      </c>
    </row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29.88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858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46217</v>
      </c>
      <c r="C4" s="193"/>
      <c r="D4" s="193">
        <v>100</v>
      </c>
      <c r="E4" s="193">
        <v>100</v>
      </c>
      <c r="F4" s="194">
        <v>100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46219</v>
      </c>
      <c r="C5" s="198"/>
      <c r="D5" s="198">
        <v>100</v>
      </c>
      <c r="E5" s="198">
        <v>75</v>
      </c>
      <c r="F5" s="199">
        <v>75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75</v>
      </c>
      <c r="E6" s="198">
        <v>75</v>
      </c>
      <c r="F6" s="199">
        <v>75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100</v>
      </c>
      <c r="E7" s="198">
        <v>0</v>
      </c>
      <c r="F7" s="199">
        <v>45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100</v>
      </c>
      <c r="E8" s="198">
        <v>0</v>
      </c>
      <c r="F8" s="199">
        <v>45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280</v>
      </c>
      <c r="D9" s="198">
        <v>75</v>
      </c>
      <c r="E9" s="198">
        <v>0</v>
      </c>
      <c r="F9" s="199">
        <v>55</v>
      </c>
      <c r="G9" s="198">
        <v>75</v>
      </c>
      <c r="H9" s="198">
        <v>75</v>
      </c>
      <c r="I9" s="198">
        <v>55</v>
      </c>
      <c r="J9" s="199">
        <v>35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65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240</v>
      </c>
      <c r="D11" s="198">
        <v>75</v>
      </c>
      <c r="E11" s="198">
        <v>75</v>
      </c>
      <c r="F11" s="199">
        <v>75</v>
      </c>
      <c r="G11" s="198">
        <v>75</v>
      </c>
      <c r="H11" s="198">
        <v>70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60</v>
      </c>
      <c r="E12" s="198">
        <v>55</v>
      </c>
      <c r="F12" s="199">
        <v>75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100</v>
      </c>
      <c r="E13" s="198">
        <v>75</v>
      </c>
      <c r="F13" s="199">
        <v>70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280</v>
      </c>
      <c r="D14" s="198">
        <v>75</v>
      </c>
      <c r="E14" s="198">
        <v>85</v>
      </c>
      <c r="F14" s="199">
        <v>85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85</v>
      </c>
      <c r="E15" s="206">
        <v>75</v>
      </c>
      <c r="F15" s="207">
        <v>75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740.4166667</v>
      </c>
      <c r="C16" s="229">
        <f t="shared" ref="C16:K16" si="0">IFERROR(AVERAGE(C4:C15),0)</f>
        <v>266.6666667</v>
      </c>
      <c r="D16" s="229">
        <f t="shared" si="0"/>
        <v>85</v>
      </c>
      <c r="E16" s="229">
        <f t="shared" si="0"/>
        <v>51.25</v>
      </c>
      <c r="F16" s="229">
        <f t="shared" si="0"/>
        <v>70</v>
      </c>
      <c r="G16" s="229">
        <f t="shared" si="0"/>
        <v>75</v>
      </c>
      <c r="H16" s="229">
        <f t="shared" si="0"/>
        <v>72.5</v>
      </c>
      <c r="I16" s="229">
        <f t="shared" si="0"/>
        <v>65</v>
      </c>
      <c r="J16" s="229">
        <f t="shared" si="0"/>
        <v>55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29.88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859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95</v>
      </c>
      <c r="F4" s="194">
        <v>95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0</v>
      </c>
      <c r="E5" s="198">
        <v>70</v>
      </c>
      <c r="F5" s="199">
        <v>70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0</v>
      </c>
      <c r="E6" s="198">
        <v>0</v>
      </c>
      <c r="F6" s="199">
        <v>0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0</v>
      </c>
      <c r="E7" s="198">
        <v>0</v>
      </c>
      <c r="F7" s="199">
        <v>0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0</v>
      </c>
      <c r="E8" s="198">
        <v>0</v>
      </c>
      <c r="F8" s="199">
        <v>65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270</v>
      </c>
      <c r="D9" s="198">
        <v>75</v>
      </c>
      <c r="E9" s="198">
        <v>0</v>
      </c>
      <c r="F9" s="199">
        <v>45</v>
      </c>
      <c r="G9" s="198">
        <v>75</v>
      </c>
      <c r="H9" s="198">
        <v>75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65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220</v>
      </c>
      <c r="D11" s="198">
        <v>60</v>
      </c>
      <c r="E11" s="198">
        <v>0</v>
      </c>
      <c r="F11" s="199">
        <v>85</v>
      </c>
      <c r="G11" s="198">
        <v>75</v>
      </c>
      <c r="H11" s="198">
        <v>65</v>
      </c>
      <c r="I11" s="198">
        <v>60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60</v>
      </c>
      <c r="E12" s="198">
        <v>55</v>
      </c>
      <c r="F12" s="199">
        <v>85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85</v>
      </c>
      <c r="E13" s="198">
        <v>75</v>
      </c>
      <c r="F13" s="199">
        <v>75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170</v>
      </c>
      <c r="D14" s="198">
        <v>85</v>
      </c>
      <c r="E14" s="198">
        <v>0</v>
      </c>
      <c r="F14" s="199">
        <v>0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60</v>
      </c>
      <c r="E15" s="206">
        <v>85</v>
      </c>
      <c r="F15" s="207">
        <v>85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645</v>
      </c>
      <c r="C16" s="229">
        <f t="shared" ref="C16:K16" si="0">IFERROR(AVERAGE(C4:C15),0)</f>
        <v>220</v>
      </c>
      <c r="D16" s="229">
        <f t="shared" si="0"/>
        <v>50</v>
      </c>
      <c r="E16" s="229">
        <f t="shared" si="0"/>
        <v>31.66666667</v>
      </c>
      <c r="F16" s="229">
        <f t="shared" si="0"/>
        <v>55.83333333</v>
      </c>
      <c r="G16" s="229">
        <f t="shared" si="0"/>
        <v>75</v>
      </c>
      <c r="H16" s="229">
        <f t="shared" si="0"/>
        <v>70</v>
      </c>
      <c r="I16" s="229">
        <f t="shared" si="0"/>
        <v>67.5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29.88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860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100</v>
      </c>
      <c r="F4" s="194">
        <v>100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100</v>
      </c>
      <c r="E5" s="198">
        <v>60</v>
      </c>
      <c r="F5" s="199">
        <v>60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75</v>
      </c>
      <c r="E6" s="198">
        <v>65</v>
      </c>
      <c r="F6" s="199">
        <v>65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0</v>
      </c>
      <c r="E7" s="198">
        <v>0</v>
      </c>
      <c r="F7" s="199">
        <v>35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0</v>
      </c>
      <c r="E8" s="198">
        <v>0</v>
      </c>
      <c r="F8" s="199">
        <v>50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300</v>
      </c>
      <c r="D9" s="198">
        <v>75</v>
      </c>
      <c r="E9" s="198">
        <v>0</v>
      </c>
      <c r="F9" s="199">
        <v>55</v>
      </c>
      <c r="G9" s="198">
        <v>75</v>
      </c>
      <c r="H9" s="198">
        <v>70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90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220</v>
      </c>
      <c r="D11" s="198">
        <v>85</v>
      </c>
      <c r="E11" s="198">
        <v>75</v>
      </c>
      <c r="F11" s="199">
        <v>75</v>
      </c>
      <c r="G11" s="198">
        <v>75</v>
      </c>
      <c r="H11" s="198">
        <v>70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60</v>
      </c>
      <c r="E12" s="198">
        <v>55</v>
      </c>
      <c r="F12" s="199">
        <v>75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85</v>
      </c>
      <c r="E13" s="198">
        <v>65</v>
      </c>
      <c r="F13" s="199">
        <v>75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280</v>
      </c>
      <c r="D14" s="198">
        <v>60</v>
      </c>
      <c r="E14" s="198">
        <v>60</v>
      </c>
      <c r="F14" s="199">
        <v>60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60</v>
      </c>
      <c r="E15" s="206">
        <v>55</v>
      </c>
      <c r="F15" s="207">
        <v>65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737.9166667</v>
      </c>
      <c r="C16" s="229">
        <f t="shared" ref="C16:K16" si="0">IFERROR(AVERAGE(C4:C15),0)</f>
        <v>266.6666667</v>
      </c>
      <c r="D16" s="229">
        <f t="shared" si="0"/>
        <v>64.58333333</v>
      </c>
      <c r="E16" s="229">
        <f t="shared" si="0"/>
        <v>44.58333333</v>
      </c>
      <c r="F16" s="229">
        <f t="shared" si="0"/>
        <v>67.08333333</v>
      </c>
      <c r="G16" s="229">
        <f t="shared" si="0"/>
        <v>75</v>
      </c>
      <c r="H16" s="229">
        <f t="shared" si="0"/>
        <v>70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29.88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861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90</v>
      </c>
      <c r="F4" s="194">
        <v>90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100</v>
      </c>
      <c r="E5" s="198">
        <v>70</v>
      </c>
      <c r="F5" s="199">
        <v>70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75</v>
      </c>
      <c r="E6" s="198">
        <v>90</v>
      </c>
      <c r="F6" s="199">
        <v>90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75</v>
      </c>
      <c r="E7" s="198">
        <v>0</v>
      </c>
      <c r="F7" s="199">
        <v>80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75</v>
      </c>
      <c r="E8" s="198">
        <v>0</v>
      </c>
      <c r="F8" s="199">
        <v>80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300</v>
      </c>
      <c r="D9" s="198">
        <v>75</v>
      </c>
      <c r="E9" s="198">
        <v>0</v>
      </c>
      <c r="F9" s="199">
        <v>55</v>
      </c>
      <c r="G9" s="198">
        <v>75</v>
      </c>
      <c r="H9" s="198">
        <v>70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90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300</v>
      </c>
      <c r="D11" s="198">
        <v>85</v>
      </c>
      <c r="E11" s="198">
        <v>100</v>
      </c>
      <c r="F11" s="199">
        <v>65</v>
      </c>
      <c r="G11" s="198">
        <v>75</v>
      </c>
      <c r="H11" s="198">
        <v>75</v>
      </c>
      <c r="I11" s="198">
        <v>0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85</v>
      </c>
      <c r="E12" s="198">
        <v>100</v>
      </c>
      <c r="F12" s="199">
        <v>85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85</v>
      </c>
      <c r="E13" s="198">
        <v>90</v>
      </c>
      <c r="F13" s="199">
        <v>75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280</v>
      </c>
      <c r="D14" s="198">
        <v>60</v>
      </c>
      <c r="E14" s="198">
        <v>80</v>
      </c>
      <c r="F14" s="199">
        <v>85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75</v>
      </c>
      <c r="E15" s="206">
        <v>85</v>
      </c>
      <c r="F15" s="207">
        <v>65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770</v>
      </c>
      <c r="C16" s="229">
        <f t="shared" ref="C16:K16" si="0">IFERROR(AVERAGE(C4:C15),0)</f>
        <v>293.3333333</v>
      </c>
      <c r="D16" s="229">
        <f t="shared" si="0"/>
        <v>80.41666667</v>
      </c>
      <c r="E16" s="229">
        <f t="shared" si="0"/>
        <v>58.75</v>
      </c>
      <c r="F16" s="229">
        <f t="shared" si="0"/>
        <v>77.5</v>
      </c>
      <c r="G16" s="229">
        <f t="shared" si="0"/>
        <v>75</v>
      </c>
      <c r="H16" s="229">
        <f t="shared" si="0"/>
        <v>72.5</v>
      </c>
      <c r="I16" s="229">
        <f t="shared" si="0"/>
        <v>37.5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29.88" customWidth="1"/>
    <col min="3" max="4" width="13.75" customWidth="1"/>
    <col min="5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862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70</v>
      </c>
      <c r="F4" s="194">
        <v>70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100</v>
      </c>
      <c r="E5" s="198">
        <v>0</v>
      </c>
      <c r="F5" s="199">
        <v>0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75</v>
      </c>
      <c r="E6" s="198">
        <v>80</v>
      </c>
      <c r="F6" s="199">
        <v>80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75</v>
      </c>
      <c r="E7" s="198">
        <v>0</v>
      </c>
      <c r="F7" s="199">
        <v>90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75</v>
      </c>
      <c r="E8" s="198">
        <v>0</v>
      </c>
      <c r="F8" s="199">
        <v>90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280</v>
      </c>
      <c r="D9" s="198">
        <v>75</v>
      </c>
      <c r="E9" s="198">
        <v>0</v>
      </c>
      <c r="F9" s="199">
        <v>20</v>
      </c>
      <c r="G9" s="198">
        <v>75</v>
      </c>
      <c r="H9" s="198">
        <v>75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70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290</v>
      </c>
      <c r="D11" s="198">
        <v>85</v>
      </c>
      <c r="E11" s="198">
        <v>65</v>
      </c>
      <c r="F11" s="199">
        <v>75</v>
      </c>
      <c r="G11" s="198">
        <v>75</v>
      </c>
      <c r="H11" s="198">
        <v>75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85</v>
      </c>
      <c r="E12" s="198">
        <v>60</v>
      </c>
      <c r="F12" s="199">
        <v>60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85</v>
      </c>
      <c r="E13" s="198">
        <v>0</v>
      </c>
      <c r="F13" s="199">
        <v>0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280</v>
      </c>
      <c r="D14" s="198">
        <v>60</v>
      </c>
      <c r="E14" s="198">
        <v>65</v>
      </c>
      <c r="F14" s="199">
        <v>75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60</v>
      </c>
      <c r="E15" s="206">
        <v>65</v>
      </c>
      <c r="F15" s="207">
        <v>75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755</v>
      </c>
      <c r="C16" s="229">
        <f t="shared" ref="C16:K16" si="0">IFERROR(AVERAGE(C4:C15),0)</f>
        <v>283.3333333</v>
      </c>
      <c r="D16" s="229">
        <f t="shared" si="0"/>
        <v>79.16666667</v>
      </c>
      <c r="E16" s="229">
        <f t="shared" si="0"/>
        <v>33.75</v>
      </c>
      <c r="F16" s="229">
        <f t="shared" si="0"/>
        <v>58.75</v>
      </c>
      <c r="G16" s="229">
        <f t="shared" si="0"/>
        <v>75</v>
      </c>
      <c r="H16" s="229">
        <f t="shared" si="0"/>
        <v>75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29.88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863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100</v>
      </c>
      <c r="F4" s="194">
        <v>100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100</v>
      </c>
      <c r="E5" s="198">
        <v>75</v>
      </c>
      <c r="F5" s="199">
        <v>75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100</v>
      </c>
      <c r="E6" s="198">
        <v>90</v>
      </c>
      <c r="F6" s="199">
        <v>90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100</v>
      </c>
      <c r="E7" s="198">
        <v>0</v>
      </c>
      <c r="F7" s="199">
        <v>100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100</v>
      </c>
      <c r="E8" s="198">
        <v>0</v>
      </c>
      <c r="F8" s="199">
        <v>100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300</v>
      </c>
      <c r="D9" s="198">
        <v>100</v>
      </c>
      <c r="E9" s="198">
        <v>0</v>
      </c>
      <c r="F9" s="199">
        <v>25</v>
      </c>
      <c r="G9" s="198">
        <v>75</v>
      </c>
      <c r="H9" s="198">
        <v>60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100</v>
      </c>
      <c r="E10" s="198">
        <v>0</v>
      </c>
      <c r="F10" s="199">
        <v>90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300</v>
      </c>
      <c r="D11" s="198">
        <v>100</v>
      </c>
      <c r="E11" s="198">
        <v>85</v>
      </c>
      <c r="F11" s="199">
        <v>85</v>
      </c>
      <c r="G11" s="198">
        <v>75</v>
      </c>
      <c r="H11" s="198">
        <v>75</v>
      </c>
      <c r="I11" s="198">
        <v>0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100</v>
      </c>
      <c r="E12" s="198">
        <v>60</v>
      </c>
      <c r="F12" s="199">
        <v>70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100</v>
      </c>
      <c r="E13" s="198">
        <v>60</v>
      </c>
      <c r="F13" s="199">
        <v>85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270</v>
      </c>
      <c r="D14" s="198">
        <v>100</v>
      </c>
      <c r="E14" s="198">
        <v>65</v>
      </c>
      <c r="F14" s="199">
        <v>85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100</v>
      </c>
      <c r="E15" s="206">
        <v>45</v>
      </c>
      <c r="F15" s="207">
        <v>65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774.1666667</v>
      </c>
      <c r="C16" s="229">
        <f t="shared" ref="C16:K16" si="0">IFERROR(AVERAGE(C4:C15),0)</f>
        <v>290</v>
      </c>
      <c r="D16" s="229">
        <f t="shared" si="0"/>
        <v>100</v>
      </c>
      <c r="E16" s="229">
        <f t="shared" si="0"/>
        <v>48.33333333</v>
      </c>
      <c r="F16" s="229">
        <f t="shared" si="0"/>
        <v>80.83333333</v>
      </c>
      <c r="G16" s="229">
        <f t="shared" si="0"/>
        <v>75</v>
      </c>
      <c r="H16" s="229">
        <f t="shared" si="0"/>
        <v>67.5</v>
      </c>
      <c r="I16" s="229">
        <f t="shared" si="0"/>
        <v>37.5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24.88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864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170</v>
      </c>
      <c r="D4" s="193">
        <v>100</v>
      </c>
      <c r="E4" s="193">
        <v>95</v>
      </c>
      <c r="F4" s="194">
        <v>70</v>
      </c>
      <c r="G4" s="193">
        <v>70</v>
      </c>
      <c r="H4" s="193">
        <v>70</v>
      </c>
      <c r="I4" s="193">
        <v>70</v>
      </c>
      <c r="J4" s="194">
        <v>70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170</v>
      </c>
      <c r="D5" s="198">
        <v>95</v>
      </c>
      <c r="E5" s="198">
        <v>80</v>
      </c>
      <c r="F5" s="199">
        <v>70</v>
      </c>
      <c r="G5" s="198">
        <v>70</v>
      </c>
      <c r="H5" s="198">
        <v>70</v>
      </c>
      <c r="I5" s="198">
        <v>70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170</v>
      </c>
      <c r="D7" s="198">
        <v>95</v>
      </c>
      <c r="E7" s="198">
        <v>80</v>
      </c>
      <c r="F7" s="199">
        <v>70</v>
      </c>
      <c r="G7" s="198">
        <v>70</v>
      </c>
      <c r="H7" s="198">
        <v>70</v>
      </c>
      <c r="I7" s="198">
        <v>70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170</v>
      </c>
      <c r="D8" s="198">
        <v>95</v>
      </c>
      <c r="E8" s="198">
        <v>85</v>
      </c>
      <c r="F8" s="199">
        <v>70</v>
      </c>
      <c r="G8" s="198">
        <v>70</v>
      </c>
      <c r="H8" s="198">
        <v>70</v>
      </c>
      <c r="I8" s="198">
        <v>70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180</v>
      </c>
      <c r="D9" s="198">
        <v>95</v>
      </c>
      <c r="E9" s="198">
        <v>85</v>
      </c>
      <c r="F9" s="199">
        <v>70</v>
      </c>
      <c r="G9" s="198">
        <v>70</v>
      </c>
      <c r="H9" s="198">
        <v>70</v>
      </c>
      <c r="I9" s="198">
        <v>70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175</v>
      </c>
      <c r="D11" s="198">
        <v>90</v>
      </c>
      <c r="E11" s="198">
        <v>85</v>
      </c>
      <c r="F11" s="199">
        <v>70</v>
      </c>
      <c r="G11" s="198">
        <v>70</v>
      </c>
      <c r="H11" s="198">
        <v>70</v>
      </c>
      <c r="I11" s="198">
        <v>70</v>
      </c>
      <c r="J11" s="199">
        <v>70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>
        <v>175</v>
      </c>
      <c r="D12" s="198">
        <v>90</v>
      </c>
      <c r="E12" s="198">
        <v>85</v>
      </c>
      <c r="F12" s="199">
        <v>70</v>
      </c>
      <c r="G12" s="198">
        <v>70</v>
      </c>
      <c r="H12" s="198">
        <v>70</v>
      </c>
      <c r="I12" s="198">
        <v>70</v>
      </c>
      <c r="J12" s="199">
        <v>70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175</v>
      </c>
      <c r="D13" s="198">
        <v>90</v>
      </c>
      <c r="E13" s="198">
        <v>85</v>
      </c>
      <c r="F13" s="199">
        <v>70</v>
      </c>
      <c r="G13" s="198">
        <v>70</v>
      </c>
      <c r="H13" s="198">
        <v>70</v>
      </c>
      <c r="I13" s="198">
        <v>70</v>
      </c>
      <c r="J13" s="199">
        <v>70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180</v>
      </c>
      <c r="D14" s="198">
        <v>90</v>
      </c>
      <c r="E14" s="198">
        <v>85</v>
      </c>
      <c r="F14" s="199">
        <v>75</v>
      </c>
      <c r="G14" s="198">
        <v>70</v>
      </c>
      <c r="H14" s="198">
        <v>70</v>
      </c>
      <c r="I14" s="198">
        <v>70</v>
      </c>
      <c r="J14" s="199">
        <v>70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180</v>
      </c>
      <c r="D15" s="206">
        <v>90</v>
      </c>
      <c r="E15" s="206">
        <v>85</v>
      </c>
      <c r="F15" s="207">
        <v>75</v>
      </c>
      <c r="G15" s="206">
        <v>70</v>
      </c>
      <c r="H15" s="206">
        <v>70</v>
      </c>
      <c r="I15" s="206">
        <v>70</v>
      </c>
      <c r="J15" s="207">
        <v>70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703.5</v>
      </c>
      <c r="C16" s="229">
        <f t="shared" ref="C16:K16" si="0">IFERROR(AVERAGE(C4:C15),0)</f>
        <v>174.5</v>
      </c>
      <c r="D16" s="229">
        <f t="shared" si="0"/>
        <v>93</v>
      </c>
      <c r="E16" s="229">
        <f t="shared" si="0"/>
        <v>85</v>
      </c>
      <c r="F16" s="229">
        <f t="shared" si="0"/>
        <v>71</v>
      </c>
      <c r="G16" s="229">
        <f t="shared" si="0"/>
        <v>70</v>
      </c>
      <c r="H16" s="229">
        <f t="shared" si="0"/>
        <v>70</v>
      </c>
      <c r="I16" s="229">
        <f t="shared" si="0"/>
        <v>70</v>
      </c>
      <c r="J16" s="229">
        <f t="shared" si="0"/>
        <v>70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865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100</v>
      </c>
      <c r="D4" s="193">
        <v>75</v>
      </c>
      <c r="E4" s="193">
        <v>70</v>
      </c>
      <c r="F4" s="194">
        <v>50</v>
      </c>
      <c r="G4" s="193">
        <v>65</v>
      </c>
      <c r="H4" s="193">
        <v>70</v>
      </c>
      <c r="I4" s="193">
        <v>60</v>
      </c>
      <c r="J4" s="194">
        <v>60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100</v>
      </c>
      <c r="D5" s="198">
        <v>75</v>
      </c>
      <c r="E5" s="198">
        <v>75</v>
      </c>
      <c r="F5" s="199">
        <v>50</v>
      </c>
      <c r="G5" s="198">
        <v>65</v>
      </c>
      <c r="H5" s="198">
        <v>60</v>
      </c>
      <c r="I5" s="198">
        <v>60</v>
      </c>
      <c r="J5" s="199">
        <v>60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130</v>
      </c>
      <c r="D7" s="198">
        <v>65</v>
      </c>
      <c r="E7" s="198">
        <v>70</v>
      </c>
      <c r="F7" s="199">
        <v>55</v>
      </c>
      <c r="G7" s="198">
        <v>60</v>
      </c>
      <c r="H7" s="198">
        <v>60</v>
      </c>
      <c r="I7" s="198">
        <v>60</v>
      </c>
      <c r="J7" s="199">
        <v>60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130</v>
      </c>
      <c r="D8" s="198">
        <v>65</v>
      </c>
      <c r="E8" s="198">
        <v>60</v>
      </c>
      <c r="F8" s="199">
        <v>55</v>
      </c>
      <c r="G8" s="198">
        <v>55</v>
      </c>
      <c r="H8" s="198">
        <v>60</v>
      </c>
      <c r="I8" s="198">
        <v>60</v>
      </c>
      <c r="J8" s="199">
        <v>60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130</v>
      </c>
      <c r="D9" s="198">
        <v>60</v>
      </c>
      <c r="E9" s="198">
        <v>60</v>
      </c>
      <c r="F9" s="199">
        <v>55</v>
      </c>
      <c r="G9" s="198">
        <v>55</v>
      </c>
      <c r="H9" s="198">
        <v>60</v>
      </c>
      <c r="I9" s="198">
        <v>60</v>
      </c>
      <c r="J9" s="199">
        <v>60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140</v>
      </c>
      <c r="D11" s="198">
        <v>60</v>
      </c>
      <c r="E11" s="198">
        <v>60</v>
      </c>
      <c r="F11" s="199">
        <v>55</v>
      </c>
      <c r="G11" s="198">
        <v>55</v>
      </c>
      <c r="H11" s="198">
        <v>60</v>
      </c>
      <c r="I11" s="198">
        <v>60</v>
      </c>
      <c r="J11" s="199">
        <v>60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>
        <v>130</v>
      </c>
      <c r="D12" s="198">
        <v>60</v>
      </c>
      <c r="E12" s="198">
        <v>60</v>
      </c>
      <c r="F12" s="199">
        <v>55</v>
      </c>
      <c r="G12" s="198">
        <v>55</v>
      </c>
      <c r="H12" s="198">
        <v>60</v>
      </c>
      <c r="I12" s="198">
        <v>60</v>
      </c>
      <c r="J12" s="199">
        <v>60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130</v>
      </c>
      <c r="D13" s="198">
        <v>60</v>
      </c>
      <c r="E13" s="198">
        <v>60</v>
      </c>
      <c r="F13" s="199">
        <v>55</v>
      </c>
      <c r="G13" s="198">
        <v>55</v>
      </c>
      <c r="H13" s="198">
        <v>60</v>
      </c>
      <c r="I13" s="198">
        <v>60</v>
      </c>
      <c r="J13" s="199">
        <v>60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130</v>
      </c>
      <c r="D14" s="198">
        <v>60</v>
      </c>
      <c r="E14" s="198">
        <v>65</v>
      </c>
      <c r="F14" s="199">
        <v>55</v>
      </c>
      <c r="G14" s="198">
        <v>55</v>
      </c>
      <c r="H14" s="198">
        <v>60</v>
      </c>
      <c r="I14" s="198">
        <v>60</v>
      </c>
      <c r="J14" s="199">
        <v>55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130</v>
      </c>
      <c r="D15" s="206">
        <v>60</v>
      </c>
      <c r="E15" s="206">
        <v>65</v>
      </c>
      <c r="F15" s="207">
        <v>55</v>
      </c>
      <c r="G15" s="206">
        <v>60</v>
      </c>
      <c r="H15" s="206">
        <v>60</v>
      </c>
      <c r="I15" s="206">
        <v>60</v>
      </c>
      <c r="J15" s="207">
        <v>55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545.5</v>
      </c>
      <c r="C16" s="229">
        <f t="shared" ref="C16:K16" si="0">IFERROR(AVERAGE(C4:C15),0)</f>
        <v>125</v>
      </c>
      <c r="D16" s="229">
        <f t="shared" si="0"/>
        <v>64</v>
      </c>
      <c r="E16" s="229">
        <f t="shared" si="0"/>
        <v>64.5</v>
      </c>
      <c r="F16" s="229">
        <f t="shared" si="0"/>
        <v>54</v>
      </c>
      <c r="G16" s="229">
        <f t="shared" si="0"/>
        <v>58</v>
      </c>
      <c r="H16" s="229">
        <f t="shared" si="0"/>
        <v>61</v>
      </c>
      <c r="I16" s="229">
        <f t="shared" si="0"/>
        <v>60</v>
      </c>
      <c r="J16" s="229">
        <f t="shared" si="0"/>
        <v>59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866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110</v>
      </c>
      <c r="D4" s="193">
        <v>70</v>
      </c>
      <c r="E4" s="193">
        <v>65</v>
      </c>
      <c r="F4" s="194">
        <v>50</v>
      </c>
      <c r="G4" s="193">
        <v>60</v>
      </c>
      <c r="H4" s="193">
        <v>55</v>
      </c>
      <c r="I4" s="193">
        <v>60</v>
      </c>
      <c r="J4" s="194">
        <v>60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120</v>
      </c>
      <c r="D5" s="198">
        <v>70</v>
      </c>
      <c r="E5" s="198">
        <v>65</v>
      </c>
      <c r="F5" s="199">
        <v>45</v>
      </c>
      <c r="G5" s="198">
        <v>60</v>
      </c>
      <c r="H5" s="198">
        <v>55</v>
      </c>
      <c r="I5" s="198">
        <v>60</v>
      </c>
      <c r="J5" s="199">
        <v>60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120</v>
      </c>
      <c r="D7" s="198">
        <v>75</v>
      </c>
      <c r="E7" s="198">
        <v>70</v>
      </c>
      <c r="F7" s="199">
        <v>45</v>
      </c>
      <c r="G7" s="198">
        <v>55</v>
      </c>
      <c r="H7" s="198">
        <v>65</v>
      </c>
      <c r="I7" s="198">
        <v>60</v>
      </c>
      <c r="J7" s="199">
        <v>55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120</v>
      </c>
      <c r="D8" s="198">
        <v>75</v>
      </c>
      <c r="E8" s="198">
        <v>70</v>
      </c>
      <c r="F8" s="199">
        <v>45</v>
      </c>
      <c r="G8" s="198">
        <v>60</v>
      </c>
      <c r="H8" s="198">
        <v>60</v>
      </c>
      <c r="I8" s="198">
        <v>60</v>
      </c>
      <c r="J8" s="199">
        <v>60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120</v>
      </c>
      <c r="D9" s="198">
        <v>75</v>
      </c>
      <c r="E9" s="198">
        <v>65</v>
      </c>
      <c r="F9" s="199">
        <v>45</v>
      </c>
      <c r="G9" s="198">
        <v>60</v>
      </c>
      <c r="H9" s="198">
        <v>60</v>
      </c>
      <c r="I9" s="198">
        <v>60</v>
      </c>
      <c r="J9" s="199">
        <v>60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>
        <v>60</v>
      </c>
      <c r="H10" s="198">
        <v>60</v>
      </c>
      <c r="I10" s="198">
        <v>60</v>
      </c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120</v>
      </c>
      <c r="D11" s="198">
        <v>70</v>
      </c>
      <c r="E11" s="198">
        <v>60</v>
      </c>
      <c r="F11" s="199">
        <v>55</v>
      </c>
      <c r="G11" s="198"/>
      <c r="H11" s="198"/>
      <c r="I11" s="198"/>
      <c r="J11" s="199">
        <v>60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>
        <v>130</v>
      </c>
      <c r="D12" s="198">
        <v>70</v>
      </c>
      <c r="E12" s="198">
        <v>60</v>
      </c>
      <c r="F12" s="199">
        <v>65</v>
      </c>
      <c r="G12" s="198">
        <v>60</v>
      </c>
      <c r="H12" s="198">
        <v>60</v>
      </c>
      <c r="I12" s="198">
        <v>60</v>
      </c>
      <c r="J12" s="199">
        <v>60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130</v>
      </c>
      <c r="D13" s="198">
        <v>70</v>
      </c>
      <c r="E13" s="198">
        <v>60</v>
      </c>
      <c r="F13" s="199">
        <v>65</v>
      </c>
      <c r="G13" s="198">
        <v>60</v>
      </c>
      <c r="H13" s="198">
        <v>60</v>
      </c>
      <c r="I13" s="198">
        <v>60</v>
      </c>
      <c r="J13" s="199">
        <v>60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130</v>
      </c>
      <c r="D14" s="198">
        <v>70</v>
      </c>
      <c r="E14" s="198">
        <v>60</v>
      </c>
      <c r="F14" s="199">
        <v>65</v>
      </c>
      <c r="G14" s="198">
        <v>60</v>
      </c>
      <c r="H14" s="198">
        <v>60</v>
      </c>
      <c r="I14" s="198">
        <v>60</v>
      </c>
      <c r="J14" s="199">
        <v>55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130</v>
      </c>
      <c r="D15" s="206">
        <v>70</v>
      </c>
      <c r="E15" s="206">
        <v>60</v>
      </c>
      <c r="F15" s="207">
        <v>65</v>
      </c>
      <c r="G15" s="206">
        <v>60</v>
      </c>
      <c r="H15" s="206">
        <v>60</v>
      </c>
      <c r="I15" s="206">
        <v>60</v>
      </c>
      <c r="J15" s="207">
        <v>55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550</v>
      </c>
      <c r="C16" s="229">
        <f t="shared" ref="C16:K16" si="0">IFERROR(AVERAGE(C4:C15),0)</f>
        <v>123</v>
      </c>
      <c r="D16" s="229">
        <f t="shared" si="0"/>
        <v>71.5</v>
      </c>
      <c r="E16" s="229">
        <f t="shared" si="0"/>
        <v>63.5</v>
      </c>
      <c r="F16" s="229">
        <f t="shared" si="0"/>
        <v>54.5</v>
      </c>
      <c r="G16" s="229">
        <f t="shared" si="0"/>
        <v>59.5</v>
      </c>
      <c r="H16" s="229">
        <f t="shared" si="0"/>
        <v>59.5</v>
      </c>
      <c r="I16" s="229">
        <f t="shared" si="0"/>
        <v>60</v>
      </c>
      <c r="J16" s="229">
        <f t="shared" si="0"/>
        <v>58.5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867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130</v>
      </c>
      <c r="D4" s="193">
        <v>75</v>
      </c>
      <c r="E4" s="193">
        <v>70</v>
      </c>
      <c r="F4" s="194">
        <v>60</v>
      </c>
      <c r="G4" s="193">
        <v>70</v>
      </c>
      <c r="H4" s="193">
        <v>70</v>
      </c>
      <c r="I4" s="193">
        <v>60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130</v>
      </c>
      <c r="D5" s="198">
        <v>70</v>
      </c>
      <c r="E5" s="198">
        <v>70</v>
      </c>
      <c r="F5" s="199">
        <v>60</v>
      </c>
      <c r="G5" s="198">
        <v>65</v>
      </c>
      <c r="H5" s="198">
        <v>60</v>
      </c>
      <c r="I5" s="198">
        <v>60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135</v>
      </c>
      <c r="D7" s="198">
        <v>65</v>
      </c>
      <c r="E7" s="198">
        <v>65</v>
      </c>
      <c r="F7" s="199">
        <v>55</v>
      </c>
      <c r="G7" s="198">
        <v>65</v>
      </c>
      <c r="H7" s="198">
        <v>60</v>
      </c>
      <c r="I7" s="198">
        <v>65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135</v>
      </c>
      <c r="D8" s="198">
        <v>65</v>
      </c>
      <c r="E8" s="198">
        <v>70</v>
      </c>
      <c r="F8" s="199">
        <v>55</v>
      </c>
      <c r="G8" s="198">
        <v>65</v>
      </c>
      <c r="H8" s="198">
        <v>65</v>
      </c>
      <c r="I8" s="198">
        <v>65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135</v>
      </c>
      <c r="D9" s="198">
        <v>70</v>
      </c>
      <c r="E9" s="198">
        <v>65</v>
      </c>
      <c r="F9" s="199">
        <v>55</v>
      </c>
      <c r="G9" s="198">
        <v>60</v>
      </c>
      <c r="H9" s="198">
        <v>60</v>
      </c>
      <c r="I9" s="198">
        <v>60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>
        <v>65</v>
      </c>
      <c r="E10" s="198"/>
      <c r="F10" s="199">
        <v>55</v>
      </c>
      <c r="G10" s="198">
        <v>60</v>
      </c>
      <c r="H10" s="198">
        <v>65</v>
      </c>
      <c r="I10" s="198">
        <v>60</v>
      </c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135</v>
      </c>
      <c r="D11" s="198">
        <v>70</v>
      </c>
      <c r="E11" s="198">
        <v>65</v>
      </c>
      <c r="F11" s="199">
        <v>60</v>
      </c>
      <c r="G11" s="198">
        <v>60</v>
      </c>
      <c r="H11" s="198">
        <v>60</v>
      </c>
      <c r="I11" s="198">
        <v>60</v>
      </c>
      <c r="J11" s="199">
        <v>65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>
        <v>130</v>
      </c>
      <c r="D12" s="198"/>
      <c r="E12" s="198">
        <v>65</v>
      </c>
      <c r="F12" s="199"/>
      <c r="G12" s="198"/>
      <c r="H12" s="198"/>
      <c r="I12" s="198"/>
      <c r="J12" s="199">
        <v>65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135</v>
      </c>
      <c r="D13" s="198">
        <v>70</v>
      </c>
      <c r="E13" s="198"/>
      <c r="F13" s="199">
        <v>60</v>
      </c>
      <c r="G13" s="198">
        <v>60</v>
      </c>
      <c r="H13" s="198">
        <v>60</v>
      </c>
      <c r="I13" s="198">
        <v>60</v>
      </c>
      <c r="J13" s="199">
        <v>65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135</v>
      </c>
      <c r="D14" s="198">
        <v>65</v>
      </c>
      <c r="E14" s="198">
        <v>70</v>
      </c>
      <c r="F14" s="199">
        <v>60</v>
      </c>
      <c r="G14" s="198">
        <v>60</v>
      </c>
      <c r="H14" s="198">
        <v>60</v>
      </c>
      <c r="I14" s="198">
        <v>60</v>
      </c>
      <c r="J14" s="199">
        <v>65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135</v>
      </c>
      <c r="D15" s="206">
        <v>60</v>
      </c>
      <c r="E15" s="206">
        <v>65</v>
      </c>
      <c r="F15" s="207">
        <v>60</v>
      </c>
      <c r="G15" s="206">
        <v>60</v>
      </c>
      <c r="H15" s="206">
        <v>65</v>
      </c>
      <c r="I15" s="206">
        <v>60</v>
      </c>
      <c r="J15" s="207">
        <v>65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578.7222222</v>
      </c>
      <c r="C16" s="229">
        <f t="shared" ref="C16:K16" si="0">IFERROR(AVERAGE(C4:C15),0)</f>
        <v>133.5</v>
      </c>
      <c r="D16" s="229">
        <f t="shared" si="0"/>
        <v>67.5</v>
      </c>
      <c r="E16" s="229">
        <f t="shared" si="0"/>
        <v>67.22222222</v>
      </c>
      <c r="F16" s="229">
        <f t="shared" si="0"/>
        <v>58</v>
      </c>
      <c r="G16" s="229">
        <f t="shared" si="0"/>
        <v>62.5</v>
      </c>
      <c r="H16" s="229">
        <f t="shared" si="0"/>
        <v>62.5</v>
      </c>
      <c r="I16" s="229">
        <f t="shared" si="0"/>
        <v>61</v>
      </c>
      <c r="J16" s="229">
        <f t="shared" si="0"/>
        <v>66.5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0" summaryRight="0"/>
  </sheetPr>
  <dimension ref="A1:Z1000"/>
  <sheetViews>
    <sheetView workbookViewId="0" rightToLeft="1" zoomScale="100" zoomScaleNormal="100"/>
  </sheetViews>
  <sheetFormatPr defaultRowHeight="15" outlineLevelRow="0" outlineLevelCol="0" x14ac:dyDescent="0" defaultColWidth="12.63"/>
  <cols>
    <col min="1" max="1" width="3.5" customWidth="1"/>
    <col min="2" max="2" width="5.13" customWidth="1"/>
    <col min="3" max="3" width="17" customWidth="1"/>
    <col min="4" max="4" width="10.38" customWidth="1"/>
    <col min="5" max="5" width="10.5" customWidth="1"/>
    <col min="6" max="6" width="19.25" customWidth="1"/>
    <col min="7" max="7" width="31.88" customWidth="1"/>
    <col min="8" max="8" width="20" customWidth="1"/>
    <col min="9" max="9" width="20.5" customWidth="1"/>
  </cols>
  <sheetData>
    <row r="1" ht="15.75" customHeight="1" spans="1:26" x14ac:dyDescent="0.25">
      <c r="A1" s="2"/>
      <c r="B1" s="3"/>
      <c r="C1" s="3"/>
      <c r="D1" s="3"/>
      <c r="E1" s="3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 spans="1:26" x14ac:dyDescent="0.25">
      <c r="A2" s="3"/>
      <c r="B2" s="5" t="s">
        <v>2</v>
      </c>
      <c r="C2"/>
      <c r="D2"/>
      <c r="E2" s="5" t="s">
        <v>3</v>
      </c>
      <c r="F2" s="6" t="s">
        <v>4</v>
      </c>
      <c r="G2" s="4"/>
      <c r="H2" s="7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 spans="1:26" x14ac:dyDescent="0.25">
      <c r="A3" s="3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 spans="1:26" x14ac:dyDescent="0.25">
      <c r="A4" s="3"/>
      <c r="B4" s="9">
        <v>1</v>
      </c>
      <c r="C4" s="10" t="s">
        <v>13</v>
      </c>
      <c r="D4" s="9">
        <v>7</v>
      </c>
      <c r="E4" s="9">
        <v>725</v>
      </c>
      <c r="F4" s="11" t="s">
        <v>14</v>
      </c>
      <c r="G4" s="12" t="s">
        <v>15</v>
      </c>
      <c r="H4" s="11" t="s">
        <v>16</v>
      </c>
      <c r="I4" s="11" t="s">
        <v>17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 spans="1:26" x14ac:dyDescent="0.25">
      <c r="A5" s="3"/>
      <c r="B5" s="13"/>
      <c r="C5" s="13"/>
      <c r="D5" s="13"/>
      <c r="E5" s="13"/>
      <c r="F5" s="13"/>
      <c r="G5" s="12" t="s">
        <v>18</v>
      </c>
      <c r="H5" s="13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 spans="1:26" x14ac:dyDescent="0.25">
      <c r="A6" s="3"/>
      <c r="B6" s="9">
        <v>2</v>
      </c>
      <c r="C6" s="10" t="s">
        <v>19</v>
      </c>
      <c r="D6" s="9">
        <v>15</v>
      </c>
      <c r="E6" s="9">
        <v>744</v>
      </c>
      <c r="F6" s="14" t="s">
        <v>20</v>
      </c>
      <c r="G6" s="15" t="s">
        <v>21</v>
      </c>
      <c r="H6" s="14" t="s">
        <v>22</v>
      </c>
      <c r="I6" s="14" t="s">
        <v>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 spans="1:26" x14ac:dyDescent="0.25">
      <c r="A7" s="3"/>
      <c r="B7" s="13"/>
      <c r="C7" s="13"/>
      <c r="D7" s="13"/>
      <c r="E7" s="13"/>
      <c r="F7" s="13"/>
      <c r="G7" s="15" t="s">
        <v>24</v>
      </c>
      <c r="H7" s="13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 spans="1:26" x14ac:dyDescent="0.25">
      <c r="A8" s="3"/>
      <c r="B8" s="9">
        <v>3</v>
      </c>
      <c r="C8" s="10" t="s">
        <v>25</v>
      </c>
      <c r="D8" s="9">
        <v>20</v>
      </c>
      <c r="E8" s="9">
        <v>810</v>
      </c>
      <c r="F8" s="14" t="s">
        <v>26</v>
      </c>
      <c r="G8" s="15" t="s">
        <v>27</v>
      </c>
      <c r="H8" s="14" t="s">
        <v>28</v>
      </c>
      <c r="I8" s="14" t="s">
        <v>29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 spans="1:26" x14ac:dyDescent="0.25">
      <c r="A9" s="3"/>
      <c r="B9" s="13"/>
      <c r="C9" s="13"/>
      <c r="D9" s="13"/>
      <c r="E9" s="13"/>
      <c r="F9" s="13"/>
      <c r="G9" s="15" t="s">
        <v>30</v>
      </c>
      <c r="H9" s="13"/>
      <c r="I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 spans="1:26" x14ac:dyDescent="0.25">
      <c r="A10" s="3"/>
      <c r="B10" s="9">
        <v>4</v>
      </c>
      <c r="C10" s="10" t="s">
        <v>31</v>
      </c>
      <c r="D10" s="9">
        <v>28</v>
      </c>
      <c r="E10" s="9">
        <v>781</v>
      </c>
      <c r="F10" s="14" t="s">
        <v>32</v>
      </c>
      <c r="G10" s="15" t="s">
        <v>33</v>
      </c>
      <c r="H10" s="14" t="s">
        <v>34</v>
      </c>
      <c r="I10" s="14" t="s">
        <v>35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 spans="1:26" x14ac:dyDescent="0.25">
      <c r="A11" s="3"/>
      <c r="B11" s="13"/>
      <c r="C11" s="13"/>
      <c r="D11" s="13"/>
      <c r="E11" s="13"/>
      <c r="F11" s="13"/>
      <c r="G11" s="16" t="s">
        <v>36</v>
      </c>
      <c r="H11" s="13"/>
      <c r="I11" s="1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 spans="1:26" x14ac:dyDescent="0.25">
      <c r="A12" s="3"/>
      <c r="B12" s="9">
        <v>5</v>
      </c>
      <c r="C12" s="10" t="s">
        <v>37</v>
      </c>
      <c r="D12" s="9">
        <v>31</v>
      </c>
      <c r="E12" s="9">
        <v>844</v>
      </c>
      <c r="F12" s="14" t="s">
        <v>38</v>
      </c>
      <c r="G12" s="15" t="s">
        <v>39</v>
      </c>
      <c r="H12" s="14" t="s">
        <v>40</v>
      </c>
      <c r="I12" s="14" t="s">
        <v>41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 spans="1:26" x14ac:dyDescent="0.25">
      <c r="A13" s="3"/>
      <c r="B13" s="13"/>
      <c r="C13" s="13"/>
      <c r="D13" s="13"/>
      <c r="E13" s="13"/>
      <c r="F13" s="13"/>
      <c r="G13" s="15" t="s">
        <v>42</v>
      </c>
      <c r="H13" s="13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 spans="1:26" x14ac:dyDescent="0.25">
      <c r="A14" s="3"/>
      <c r="B14" s="9">
        <v>6</v>
      </c>
      <c r="C14" s="10" t="s">
        <v>43</v>
      </c>
      <c r="D14" s="9">
        <v>38</v>
      </c>
      <c r="E14" s="9">
        <v>806</v>
      </c>
      <c r="F14" s="14" t="s">
        <v>44</v>
      </c>
      <c r="G14" s="15" t="s">
        <v>45</v>
      </c>
      <c r="H14" s="14" t="s">
        <v>46</v>
      </c>
      <c r="I14" s="14" t="s">
        <v>47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 spans="1:26" x14ac:dyDescent="0.25">
      <c r="A15" s="3"/>
      <c r="B15" s="13"/>
      <c r="C15" s="13"/>
      <c r="D15" s="13"/>
      <c r="E15" s="13"/>
      <c r="F15" s="13"/>
      <c r="G15" s="15" t="s">
        <v>48</v>
      </c>
      <c r="H15" s="13"/>
      <c r="I15" s="1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 spans="1:26" x14ac:dyDescent="0.25">
      <c r="A16" s="3"/>
      <c r="B16" s="9">
        <v>7</v>
      </c>
      <c r="C16" s="10" t="s">
        <v>49</v>
      </c>
      <c r="D16" s="9">
        <v>40</v>
      </c>
      <c r="E16" s="9">
        <v>796</v>
      </c>
      <c r="F16" s="14" t="s">
        <v>50</v>
      </c>
      <c r="G16" s="15" t="s">
        <v>51</v>
      </c>
      <c r="H16" s="14" t="s">
        <v>52</v>
      </c>
      <c r="I16" s="14" t="s">
        <v>53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 spans="1:26" x14ac:dyDescent="0.25">
      <c r="A17" s="3"/>
      <c r="B17" s="13"/>
      <c r="C17" s="13"/>
      <c r="D17" s="13"/>
      <c r="E17" s="13"/>
      <c r="F17" s="13"/>
      <c r="G17" s="15" t="s">
        <v>54</v>
      </c>
      <c r="H17" s="13"/>
      <c r="I17" s="1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 spans="1:26" x14ac:dyDescent="0.25">
      <c r="A18" s="3"/>
      <c r="B18" s="9">
        <v>8</v>
      </c>
      <c r="C18" s="10" t="s">
        <v>55</v>
      </c>
      <c r="D18" s="9">
        <v>46</v>
      </c>
      <c r="E18" s="9">
        <v>719</v>
      </c>
      <c r="F18" s="14" t="s">
        <v>56</v>
      </c>
      <c r="G18" s="15" t="s">
        <v>57</v>
      </c>
      <c r="H18" s="14" t="s">
        <v>58</v>
      </c>
      <c r="I18" s="14" t="s">
        <v>59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 spans="1:26" x14ac:dyDescent="0.25">
      <c r="A19" s="3"/>
      <c r="B19" s="13"/>
      <c r="C19" s="13"/>
      <c r="D19" s="13"/>
      <c r="E19" s="13"/>
      <c r="F19" s="13"/>
      <c r="G19" s="15" t="s">
        <v>60</v>
      </c>
      <c r="H19" s="13"/>
      <c r="I19" s="1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 spans="1:26" x14ac:dyDescent="0.25">
      <c r="A20" s="3"/>
      <c r="B20" s="9">
        <v>9</v>
      </c>
      <c r="C20" s="10" t="s">
        <v>61</v>
      </c>
      <c r="D20" s="9">
        <v>60</v>
      </c>
      <c r="E20" s="9">
        <v>769</v>
      </c>
      <c r="F20" s="17" t="s">
        <v>62</v>
      </c>
      <c r="G20" s="15" t="s">
        <v>63</v>
      </c>
      <c r="H20" s="14" t="s">
        <v>64</v>
      </c>
      <c r="I20" s="14" t="s">
        <v>65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 spans="1:26" x14ac:dyDescent="0.25">
      <c r="A21" s="3"/>
      <c r="B21" s="13"/>
      <c r="C21" s="13"/>
      <c r="D21" s="13"/>
      <c r="E21" s="13"/>
      <c r="F21" s="18"/>
      <c r="G21" s="19" t="s">
        <v>36</v>
      </c>
      <c r="H21" s="13"/>
      <c r="I21" s="1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 spans="1:26" x14ac:dyDescent="0.25">
      <c r="A22" s="3"/>
      <c r="B22" s="9">
        <v>10</v>
      </c>
      <c r="C22" s="10" t="s">
        <v>66</v>
      </c>
      <c r="D22" s="9">
        <v>63</v>
      </c>
      <c r="E22" s="9">
        <v>780</v>
      </c>
      <c r="F22" s="14" t="s">
        <v>67</v>
      </c>
      <c r="G22" s="15" t="s">
        <v>68</v>
      </c>
      <c r="H22" s="14" t="s">
        <v>69</v>
      </c>
      <c r="I22" s="14" t="s">
        <v>70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 spans="1:26" x14ac:dyDescent="0.25">
      <c r="A23" s="3"/>
      <c r="B23" s="13"/>
      <c r="C23" s="13"/>
      <c r="D23" s="13"/>
      <c r="E23" s="13"/>
      <c r="F23" s="13"/>
      <c r="G23" s="15" t="s">
        <v>71</v>
      </c>
      <c r="H23" s="13"/>
      <c r="I23" s="1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 spans="1:26" x14ac:dyDescent="0.25">
      <c r="A24" s="3"/>
      <c r="B24" s="9">
        <v>11</v>
      </c>
      <c r="C24" s="10" t="s">
        <v>72</v>
      </c>
      <c r="D24" s="9">
        <v>9</v>
      </c>
      <c r="E24" s="9">
        <v>756</v>
      </c>
      <c r="F24" s="14" t="s">
        <v>73</v>
      </c>
      <c r="G24" s="15" t="s">
        <v>74</v>
      </c>
      <c r="H24" s="14" t="s">
        <v>75</v>
      </c>
      <c r="I24" s="14" t="s">
        <v>76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 spans="1:26" x14ac:dyDescent="0.25">
      <c r="A25" s="3"/>
      <c r="B25" s="13"/>
      <c r="C25" s="13"/>
      <c r="D25" s="13"/>
      <c r="E25" s="13"/>
      <c r="F25" s="13"/>
      <c r="G25" s="15" t="s">
        <v>77</v>
      </c>
      <c r="H25" s="13"/>
      <c r="I25" s="1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 spans="1:26" x14ac:dyDescent="0.25">
      <c r="A26" s="3"/>
      <c r="B26" s="9">
        <v>12</v>
      </c>
      <c r="C26" s="10" t="s">
        <v>78</v>
      </c>
      <c r="D26" s="9">
        <v>10</v>
      </c>
      <c r="E26" s="9">
        <v>781</v>
      </c>
      <c r="F26" s="14" t="s">
        <v>79</v>
      </c>
      <c r="G26" s="15" t="s">
        <v>80</v>
      </c>
      <c r="H26" s="14" t="s">
        <v>81</v>
      </c>
      <c r="I26" s="14" t="s">
        <v>82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 spans="1:26" x14ac:dyDescent="0.25">
      <c r="A27" s="3"/>
      <c r="B27" s="13"/>
      <c r="C27" s="13"/>
      <c r="D27" s="13"/>
      <c r="E27" s="13"/>
      <c r="F27" s="13"/>
      <c r="G27" s="20" t="s">
        <v>36</v>
      </c>
      <c r="H27" s="13"/>
      <c r="I27" s="1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 spans="1:26" x14ac:dyDescent="0.25">
      <c r="A28" s="3"/>
      <c r="B28" s="3"/>
      <c r="C28" s="3"/>
      <c r="D28" s="3"/>
      <c r="E28" s="3"/>
      <c r="F28" s="4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 spans="1:26" x14ac:dyDescent="0.25">
      <c r="A29" s="3"/>
      <c r="B29" s="3"/>
      <c r="C29" s="3"/>
      <c r="D29" s="3"/>
      <c r="E29" s="3"/>
      <c r="F29" s="4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 spans="1:26" x14ac:dyDescent="0.25">
      <c r="A30" s="3"/>
      <c r="B30" s="3"/>
      <c r="C30" s="3"/>
      <c r="D30" s="3"/>
      <c r="E30" s="3"/>
      <c r="F30" s="4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 spans="1:26" x14ac:dyDescent="0.25">
      <c r="A31" s="3"/>
      <c r="B31" s="5" t="s">
        <v>83</v>
      </c>
      <c r="C31"/>
      <c r="D31"/>
      <c r="E31" s="5" t="s">
        <v>3</v>
      </c>
      <c r="F31" s="6" t="s">
        <v>84</v>
      </c>
      <c r="G31" s="4"/>
      <c r="H31" s="7"/>
      <c r="I31" s="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 spans="1:26" x14ac:dyDescent="0.25">
      <c r="A32" s="3"/>
      <c r="B32" s="21" t="s">
        <v>5</v>
      </c>
      <c r="C32" s="21" t="s">
        <v>6</v>
      </c>
      <c r="D32" s="21" t="s">
        <v>7</v>
      </c>
      <c r="E32" s="21" t="s">
        <v>8</v>
      </c>
      <c r="F32" s="22" t="s">
        <v>9</v>
      </c>
      <c r="G32" s="22" t="s">
        <v>10</v>
      </c>
      <c r="H32" s="21" t="s">
        <v>11</v>
      </c>
      <c r="I32" s="21" t="s">
        <v>12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 spans="1:26" x14ac:dyDescent="0.25">
      <c r="A33" s="3"/>
      <c r="B33" s="9">
        <v>1</v>
      </c>
      <c r="C33" s="10" t="s">
        <v>13</v>
      </c>
      <c r="D33" s="9"/>
      <c r="E33" s="9"/>
      <c r="F33" s="23"/>
      <c r="G33" s="24"/>
      <c r="H33" s="9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 spans="1:26" x14ac:dyDescent="0.25">
      <c r="A34" s="3"/>
      <c r="B34" s="13"/>
      <c r="C34" s="13"/>
      <c r="D34" s="13"/>
      <c r="E34" s="13"/>
      <c r="F34" s="13"/>
      <c r="G34" s="24"/>
      <c r="H34" s="13"/>
      <c r="I34" s="1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 spans="1:26" x14ac:dyDescent="0.25">
      <c r="A35" s="3"/>
      <c r="B35" s="9">
        <v>2</v>
      </c>
      <c r="C35" s="10" t="s">
        <v>19</v>
      </c>
      <c r="D35" s="9"/>
      <c r="E35" s="9"/>
      <c r="F35" s="23"/>
      <c r="G35" s="24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 spans="1:26" x14ac:dyDescent="0.25">
      <c r="A36" s="3"/>
      <c r="B36" s="13"/>
      <c r="C36" s="13"/>
      <c r="D36" s="13"/>
      <c r="E36" s="13"/>
      <c r="F36" s="13"/>
      <c r="G36" s="24"/>
      <c r="H36" s="13"/>
      <c r="I36" s="1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 spans="1:26" x14ac:dyDescent="0.25">
      <c r="A37" s="3"/>
      <c r="B37" s="9">
        <v>3</v>
      </c>
      <c r="C37" s="10" t="s">
        <v>25</v>
      </c>
      <c r="D37" s="9"/>
      <c r="E37" s="9"/>
      <c r="F37" s="23"/>
      <c r="G37" s="24"/>
      <c r="H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 spans="1:26" x14ac:dyDescent="0.25">
      <c r="A38" s="3"/>
      <c r="B38" s="13"/>
      <c r="C38" s="13"/>
      <c r="D38" s="13"/>
      <c r="E38" s="13"/>
      <c r="F38" s="13"/>
      <c r="G38" s="24"/>
      <c r="H38" s="13"/>
      <c r="I38" s="1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 spans="1:26" x14ac:dyDescent="0.25">
      <c r="A39" s="3"/>
      <c r="B39" s="9">
        <v>4</v>
      </c>
      <c r="C39" s="10" t="s">
        <v>31</v>
      </c>
      <c r="D39" s="9"/>
      <c r="E39" s="9"/>
      <c r="F39" s="23"/>
      <c r="G39" s="24"/>
      <c r="H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 spans="1:26" x14ac:dyDescent="0.25">
      <c r="A40" s="3"/>
      <c r="B40" s="13"/>
      <c r="C40" s="13"/>
      <c r="D40" s="13"/>
      <c r="E40" s="13"/>
      <c r="F40" s="13"/>
      <c r="G40" s="24"/>
      <c r="H40" s="13"/>
      <c r="I40" s="1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 spans="1:26" x14ac:dyDescent="0.25">
      <c r="A41" s="3"/>
      <c r="B41" s="9">
        <v>5</v>
      </c>
      <c r="C41" s="10" t="s">
        <v>37</v>
      </c>
      <c r="D41" s="9"/>
      <c r="E41" s="9"/>
      <c r="F41" s="23"/>
      <c r="G41" s="24"/>
      <c r="H41" s="9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 spans="1:26" x14ac:dyDescent="0.25">
      <c r="A42" s="3"/>
      <c r="B42" s="13"/>
      <c r="C42" s="13"/>
      <c r="D42" s="13"/>
      <c r="E42" s="13"/>
      <c r="F42" s="13"/>
      <c r="G42" s="24"/>
      <c r="H42" s="13"/>
      <c r="I42" s="1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 spans="1:26" x14ac:dyDescent="0.25">
      <c r="A43" s="3"/>
      <c r="B43" s="9">
        <v>6</v>
      </c>
      <c r="C43" s="10" t="s">
        <v>43</v>
      </c>
      <c r="D43" s="9"/>
      <c r="E43" s="9"/>
      <c r="F43" s="23"/>
      <c r="G43" s="24"/>
      <c r="H43" s="9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 spans="1:26" x14ac:dyDescent="0.25">
      <c r="A44" s="3"/>
      <c r="B44" s="13"/>
      <c r="C44" s="13"/>
      <c r="D44" s="13"/>
      <c r="E44" s="13"/>
      <c r="F44" s="13"/>
      <c r="G44" s="24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 spans="1:26" x14ac:dyDescent="0.25">
      <c r="A45" s="3"/>
      <c r="B45" s="9">
        <v>7</v>
      </c>
      <c r="C45" s="10" t="s">
        <v>49</v>
      </c>
      <c r="D45" s="9"/>
      <c r="E45" s="9"/>
      <c r="F45" s="23"/>
      <c r="G45" s="24"/>
      <c r="H45" s="9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 spans="1:26" x14ac:dyDescent="0.25">
      <c r="A46" s="3"/>
      <c r="B46" s="13"/>
      <c r="C46" s="13"/>
      <c r="D46" s="13"/>
      <c r="E46" s="13"/>
      <c r="F46" s="13"/>
      <c r="G46" s="24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 spans="1:26" x14ac:dyDescent="0.25">
      <c r="A47" s="3"/>
      <c r="B47" s="9">
        <v>8</v>
      </c>
      <c r="C47" s="10" t="s">
        <v>55</v>
      </c>
      <c r="D47" s="9"/>
      <c r="E47" s="9"/>
      <c r="F47" s="23"/>
      <c r="G47" s="24"/>
      <c r="H47" s="9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 spans="1:26" x14ac:dyDescent="0.25">
      <c r="A48" s="3"/>
      <c r="B48" s="13"/>
      <c r="C48" s="13"/>
      <c r="D48" s="13"/>
      <c r="E48" s="13"/>
      <c r="F48" s="13"/>
      <c r="G48" s="24"/>
      <c r="H48" s="13"/>
      <c r="I48" s="1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 spans="1:26" x14ac:dyDescent="0.25">
      <c r="A49" s="3"/>
      <c r="B49" s="9">
        <v>9</v>
      </c>
      <c r="C49" s="10" t="s">
        <v>61</v>
      </c>
      <c r="D49" s="9"/>
      <c r="E49" s="9"/>
      <c r="F49" s="23"/>
      <c r="G49" s="24"/>
      <c r="H49" s="9"/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 spans="1:26" x14ac:dyDescent="0.25">
      <c r="A50" s="3"/>
      <c r="B50" s="13"/>
      <c r="C50" s="13"/>
      <c r="D50" s="13"/>
      <c r="E50" s="13"/>
      <c r="F50" s="13"/>
      <c r="G50" s="24"/>
      <c r="H50" s="13"/>
      <c r="I50" s="1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 spans="1:26" x14ac:dyDescent="0.25">
      <c r="A51" s="3"/>
      <c r="B51" s="9">
        <v>10</v>
      </c>
      <c r="C51" s="10" t="s">
        <v>66</v>
      </c>
      <c r="D51" s="9"/>
      <c r="E51" s="9"/>
      <c r="F51" s="23"/>
      <c r="G51" s="24"/>
      <c r="H51" s="9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 spans="1:26" x14ac:dyDescent="0.25">
      <c r="A52" s="3"/>
      <c r="B52" s="13"/>
      <c r="C52" s="13"/>
      <c r="D52" s="13"/>
      <c r="E52" s="13"/>
      <c r="F52" s="13"/>
      <c r="G52" s="24"/>
      <c r="H52" s="13"/>
      <c r="I52" s="1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 spans="1:26" x14ac:dyDescent="0.25">
      <c r="A53" s="3"/>
      <c r="B53" s="9">
        <v>11</v>
      </c>
      <c r="C53" s="10" t="s">
        <v>72</v>
      </c>
      <c r="D53" s="9"/>
      <c r="E53" s="9"/>
      <c r="F53" s="23"/>
      <c r="G53" s="24"/>
      <c r="H53" s="9"/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 spans="1:26" x14ac:dyDescent="0.25">
      <c r="A54" s="3"/>
      <c r="B54" s="13"/>
      <c r="C54" s="13"/>
      <c r="D54" s="13"/>
      <c r="E54" s="13"/>
      <c r="F54" s="13"/>
      <c r="G54" s="24"/>
      <c r="H54" s="13"/>
      <c r="I54" s="1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 spans="1:26" x14ac:dyDescent="0.25">
      <c r="A55" s="3"/>
      <c r="B55" s="9">
        <v>12</v>
      </c>
      <c r="C55" s="10" t="s">
        <v>78</v>
      </c>
      <c r="D55" s="9"/>
      <c r="E55" s="9"/>
      <c r="F55" s="23"/>
      <c r="G55" s="24"/>
      <c r="H55" s="9"/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 spans="1:26" x14ac:dyDescent="0.25">
      <c r="A56" s="3"/>
      <c r="B56" s="13"/>
      <c r="C56" s="13"/>
      <c r="D56" s="13"/>
      <c r="E56" s="13"/>
      <c r="F56" s="13"/>
      <c r="G56" s="24"/>
      <c r="H56" s="13"/>
      <c r="I56" s="1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 spans="1:26" x14ac:dyDescent="0.25">
      <c r="A57" s="3"/>
      <c r="B57" s="3"/>
      <c r="C57" s="3"/>
      <c r="D57" s="3"/>
      <c r="E57" s="3"/>
      <c r="F57" s="4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 spans="1:26" x14ac:dyDescent="0.25">
      <c r="A58" s="3"/>
      <c r="B58" s="3"/>
      <c r="C58" s="3"/>
      <c r="D58" s="3"/>
      <c r="E58" s="3"/>
      <c r="F58" s="4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 spans="1:26" x14ac:dyDescent="0.25">
      <c r="A59" s="3"/>
      <c r="B59" s="3"/>
      <c r="C59" s="3"/>
      <c r="D59" s="3"/>
      <c r="E59" s="3"/>
      <c r="F59" s="4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 spans="1:26" x14ac:dyDescent="0.25">
      <c r="A60" s="3"/>
      <c r="B60" s="3"/>
      <c r="C60" s="3"/>
      <c r="D60" s="3"/>
      <c r="E60" s="3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 spans="1:26" x14ac:dyDescent="0.25">
      <c r="A61" s="3"/>
      <c r="B61" s="3"/>
      <c r="C61" s="3"/>
      <c r="D61" s="3"/>
      <c r="E61" s="3"/>
      <c r="F61" s="4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 spans="1:26" x14ac:dyDescent="0.25">
      <c r="A62" s="3"/>
      <c r="B62" s="3"/>
      <c r="C62" s="3"/>
      <c r="D62" s="3"/>
      <c r="E62" s="3"/>
      <c r="F62" s="4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 spans="1:26" x14ac:dyDescent="0.25">
      <c r="A63" s="3"/>
      <c r="B63" s="3"/>
      <c r="C63" s="3"/>
      <c r="D63" s="3"/>
      <c r="E63" s="3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 spans="1:26" x14ac:dyDescent="0.25">
      <c r="A64" s="3"/>
      <c r="B64" s="3"/>
      <c r="C64" s="3"/>
      <c r="D64" s="3"/>
      <c r="E64" s="3"/>
      <c r="F64" s="4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 spans="1:26" x14ac:dyDescent="0.25">
      <c r="A65" s="3"/>
      <c r="B65" s="3"/>
      <c r="C65" s="3"/>
      <c r="D65" s="3"/>
      <c r="E65" s="3"/>
      <c r="F65" s="4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 spans="1:26" x14ac:dyDescent="0.25">
      <c r="A66" s="3"/>
      <c r="B66" s="3"/>
      <c r="C66" s="3"/>
      <c r="D66" s="3"/>
      <c r="E66" s="3"/>
      <c r="F66" s="4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 spans="1:26" x14ac:dyDescent="0.25">
      <c r="A67" s="3"/>
      <c r="B67" s="3"/>
      <c r="C67" s="3"/>
      <c r="D67" s="3"/>
      <c r="E67" s="3"/>
      <c r="F67" s="4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 spans="1:26" x14ac:dyDescent="0.25">
      <c r="A68" s="3"/>
      <c r="B68" s="3"/>
      <c r="C68" s="3"/>
      <c r="D68" s="3"/>
      <c r="E68" s="3"/>
      <c r="F68" s="4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 spans="1:26" x14ac:dyDescent="0.25">
      <c r="A69" s="3"/>
      <c r="B69" s="3"/>
      <c r="C69" s="3"/>
      <c r="D69" s="3"/>
      <c r="E69" s="3"/>
      <c r="F69" s="4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 spans="1:26" x14ac:dyDescent="0.25">
      <c r="A70" s="3"/>
      <c r="B70" s="3"/>
      <c r="C70" s="3"/>
      <c r="D70" s="3"/>
      <c r="E70" s="3"/>
      <c r="F70" s="4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 spans="1:26" x14ac:dyDescent="0.25">
      <c r="A71" s="3"/>
      <c r="B71" s="3"/>
      <c r="C71" s="3"/>
      <c r="D71" s="3"/>
      <c r="E71" s="3"/>
      <c r="F71" s="4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 spans="1:26" x14ac:dyDescent="0.25">
      <c r="A72" s="3"/>
      <c r="B72" s="3"/>
      <c r="C72" s="3"/>
      <c r="D72" s="3"/>
      <c r="E72" s="3"/>
      <c r="F72" s="4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 spans="1:26" x14ac:dyDescent="0.25">
      <c r="A73" s="3"/>
      <c r="B73" s="3"/>
      <c r="C73" s="3"/>
      <c r="D73" s="3"/>
      <c r="E73" s="3"/>
      <c r="F73" s="4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 spans="1:26" x14ac:dyDescent="0.25">
      <c r="A74" s="3"/>
      <c r="B74" s="3"/>
      <c r="C74" s="3"/>
      <c r="D74" s="3"/>
      <c r="E74" s="3"/>
      <c r="F74" s="4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 spans="1:26" x14ac:dyDescent="0.25">
      <c r="A75" s="3"/>
      <c r="B75" s="3"/>
      <c r="C75" s="3"/>
      <c r="D75" s="3"/>
      <c r="E75" s="3"/>
      <c r="F75" s="4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 spans="1:26" x14ac:dyDescent="0.25">
      <c r="A76" s="3"/>
      <c r="B76" s="3"/>
      <c r="C76" s="3"/>
      <c r="D76" s="3"/>
      <c r="E76" s="3"/>
      <c r="F76" s="4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 spans="1:26" x14ac:dyDescent="0.25">
      <c r="A77" s="3"/>
      <c r="B77" s="3"/>
      <c r="C77" s="3"/>
      <c r="D77" s="3"/>
      <c r="E77" s="3"/>
      <c r="F77" s="4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 spans="1:26" x14ac:dyDescent="0.25">
      <c r="A78" s="3"/>
      <c r="B78" s="3"/>
      <c r="C78" s="3"/>
      <c r="D78" s="3"/>
      <c r="E78" s="3"/>
      <c r="F78" s="4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 spans="1:26" x14ac:dyDescent="0.25">
      <c r="A79" s="3"/>
      <c r="B79" s="3"/>
      <c r="C79" s="3"/>
      <c r="D79" s="3"/>
      <c r="E79" s="3"/>
      <c r="F79" s="4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 spans="1:26" x14ac:dyDescent="0.25">
      <c r="A80" s="3"/>
      <c r="B80" s="3"/>
      <c r="C80" s="3"/>
      <c r="D80" s="3"/>
      <c r="E80" s="3"/>
      <c r="F80" s="4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 spans="1:26" x14ac:dyDescent="0.25">
      <c r="A81" s="3"/>
      <c r="B81" s="3"/>
      <c r="C81" s="3"/>
      <c r="D81" s="3"/>
      <c r="E81" s="3"/>
      <c r="F81" s="4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 spans="1:26" x14ac:dyDescent="0.25">
      <c r="A82" s="3"/>
      <c r="B82" s="3"/>
      <c r="C82" s="3"/>
      <c r="D82" s="3"/>
      <c r="E82" s="3"/>
      <c r="F82" s="4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 spans="1:26" x14ac:dyDescent="0.25">
      <c r="A83" s="3"/>
      <c r="B83" s="3"/>
      <c r="C83" s="3"/>
      <c r="D83" s="3"/>
      <c r="E83" s="3"/>
      <c r="F83" s="4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 spans="1:26" x14ac:dyDescent="0.25">
      <c r="A84" s="3"/>
      <c r="B84" s="3"/>
      <c r="C84" s="3"/>
      <c r="D84" s="3"/>
      <c r="E84" s="3"/>
      <c r="F84" s="4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 spans="1:26" x14ac:dyDescent="0.25">
      <c r="A85" s="3"/>
      <c r="B85" s="3"/>
      <c r="C85" s="3"/>
      <c r="D85" s="3"/>
      <c r="E85" s="3"/>
      <c r="F85" s="4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 spans="1:26" x14ac:dyDescent="0.25">
      <c r="A86" s="3"/>
      <c r="B86" s="3"/>
      <c r="C86" s="3"/>
      <c r="D86" s="3"/>
      <c r="E86" s="3"/>
      <c r="F86" s="4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 spans="1:26" x14ac:dyDescent="0.25">
      <c r="A87" s="3"/>
      <c r="B87" s="3"/>
      <c r="C87" s="3"/>
      <c r="D87" s="3"/>
      <c r="E87" s="3"/>
      <c r="F87" s="4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 spans="1:26" x14ac:dyDescent="0.25">
      <c r="A88" s="3"/>
      <c r="B88" s="3"/>
      <c r="C88" s="3"/>
      <c r="D88" s="3"/>
      <c r="E88" s="3"/>
      <c r="F88" s="4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 spans="1:26" x14ac:dyDescent="0.25">
      <c r="A89" s="3"/>
      <c r="B89" s="3"/>
      <c r="C89" s="3"/>
      <c r="D89" s="3"/>
      <c r="E89" s="3"/>
      <c r="F89" s="4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 spans="1:26" x14ac:dyDescent="0.25">
      <c r="A90" s="3"/>
      <c r="B90" s="3"/>
      <c r="C90" s="3"/>
      <c r="D90" s="3"/>
      <c r="E90" s="3"/>
      <c r="F90" s="4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 spans="1:26" x14ac:dyDescent="0.25">
      <c r="A91" s="3"/>
      <c r="B91" s="3"/>
      <c r="C91" s="3"/>
      <c r="D91" s="3"/>
      <c r="E91" s="3"/>
      <c r="F91" s="4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 spans="1:26" x14ac:dyDescent="0.25">
      <c r="A92" s="3"/>
      <c r="B92" s="3"/>
      <c r="C92" s="3"/>
      <c r="D92" s="3"/>
      <c r="E92" s="3"/>
      <c r="F92" s="4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 spans="1:26" x14ac:dyDescent="0.25">
      <c r="A93" s="3"/>
      <c r="B93" s="3"/>
      <c r="C93" s="3"/>
      <c r="D93" s="3"/>
      <c r="E93" s="3"/>
      <c r="F93" s="4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 spans="1:26" x14ac:dyDescent="0.25">
      <c r="A94" s="3"/>
      <c r="B94" s="3"/>
      <c r="C94" s="3"/>
      <c r="D94" s="3"/>
      <c r="E94" s="3"/>
      <c r="F94" s="4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 spans="1:26" x14ac:dyDescent="0.25">
      <c r="A95" s="3"/>
      <c r="B95" s="3"/>
      <c r="C95" s="3"/>
      <c r="D95" s="3"/>
      <c r="E95" s="3"/>
      <c r="F95" s="4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 spans="1:26" x14ac:dyDescent="0.25">
      <c r="A96" s="3"/>
      <c r="B96" s="3"/>
      <c r="C96" s="3"/>
      <c r="D96" s="3"/>
      <c r="E96" s="3"/>
      <c r="F96" s="4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 spans="1:26" x14ac:dyDescent="0.25">
      <c r="A97" s="3"/>
      <c r="B97" s="3"/>
      <c r="C97" s="3"/>
      <c r="D97" s="3"/>
      <c r="E97" s="3"/>
      <c r="F97" s="4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 spans="1:26" x14ac:dyDescent="0.25">
      <c r="A98" s="3"/>
      <c r="B98" s="3"/>
      <c r="C98" s="3"/>
      <c r="D98" s="3"/>
      <c r="E98" s="3"/>
      <c r="F98" s="4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 spans="1:26" x14ac:dyDescent="0.25">
      <c r="A99" s="3"/>
      <c r="B99" s="3"/>
      <c r="C99" s="3"/>
      <c r="D99" s="3"/>
      <c r="E99" s="3"/>
      <c r="F99" s="4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 spans="1:26" x14ac:dyDescent="0.25">
      <c r="A100" s="3"/>
      <c r="B100" s="3"/>
      <c r="C100" s="3"/>
      <c r="D100" s="3"/>
      <c r="E100" s="3"/>
      <c r="F100" s="4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 spans="1:26" x14ac:dyDescent="0.25">
      <c r="A101" s="3"/>
      <c r="B101" s="3"/>
      <c r="C101" s="3"/>
      <c r="D101" s="3"/>
      <c r="E101" s="3"/>
      <c r="F101" s="4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 spans="1:26" x14ac:dyDescent="0.25">
      <c r="A102" s="3"/>
      <c r="B102" s="3"/>
      <c r="C102" s="3"/>
      <c r="D102" s="3"/>
      <c r="E102" s="3"/>
      <c r="F102" s="4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 spans="1:26" x14ac:dyDescent="0.25">
      <c r="A103" s="3"/>
      <c r="B103" s="3"/>
      <c r="C103" s="3"/>
      <c r="D103" s="3"/>
      <c r="E103" s="3"/>
      <c r="F103" s="4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 spans="1:26" x14ac:dyDescent="0.25">
      <c r="A104" s="3"/>
      <c r="B104" s="3"/>
      <c r="C104" s="3"/>
      <c r="D104" s="3"/>
      <c r="E104" s="3"/>
      <c r="F104" s="4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 spans="1:26" x14ac:dyDescent="0.25">
      <c r="A105" s="3"/>
      <c r="B105" s="3"/>
      <c r="C105" s="3"/>
      <c r="D105" s="3"/>
      <c r="E105" s="3"/>
      <c r="F105" s="4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 spans="1:26" x14ac:dyDescent="0.25">
      <c r="A106" s="3"/>
      <c r="B106" s="3"/>
      <c r="C106" s="3"/>
      <c r="D106" s="3"/>
      <c r="E106" s="3"/>
      <c r="F106" s="4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 spans="1:26" x14ac:dyDescent="0.25">
      <c r="A107" s="3"/>
      <c r="B107" s="3"/>
      <c r="C107" s="3"/>
      <c r="D107" s="3"/>
      <c r="E107" s="3"/>
      <c r="F107" s="4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 spans="1:26" x14ac:dyDescent="0.25">
      <c r="A108" s="3"/>
      <c r="B108" s="3"/>
      <c r="C108" s="3"/>
      <c r="D108" s="3"/>
      <c r="E108" s="3"/>
      <c r="F108" s="4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 spans="1:26" x14ac:dyDescent="0.25">
      <c r="A109" s="3"/>
      <c r="B109" s="3"/>
      <c r="C109" s="3"/>
      <c r="D109" s="3"/>
      <c r="E109" s="3"/>
      <c r="F109" s="4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 spans="1:26" x14ac:dyDescent="0.25">
      <c r="A110" s="3"/>
      <c r="B110" s="3"/>
      <c r="C110" s="3"/>
      <c r="D110" s="3"/>
      <c r="E110" s="3"/>
      <c r="F110" s="4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 spans="1:26" x14ac:dyDescent="0.25">
      <c r="A111" s="3"/>
      <c r="B111" s="3"/>
      <c r="C111" s="3"/>
      <c r="D111" s="3"/>
      <c r="E111" s="3"/>
      <c r="F111" s="4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 spans="1:26" x14ac:dyDescent="0.25">
      <c r="A112" s="3"/>
      <c r="B112" s="3"/>
      <c r="C112" s="3"/>
      <c r="D112" s="3"/>
      <c r="E112" s="3"/>
      <c r="F112" s="4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 spans="1:26" x14ac:dyDescent="0.25">
      <c r="A113" s="3"/>
      <c r="B113" s="3"/>
      <c r="C113" s="3"/>
      <c r="D113" s="3"/>
      <c r="E113" s="3"/>
      <c r="F113" s="4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 spans="1:26" x14ac:dyDescent="0.25">
      <c r="A114" s="3"/>
      <c r="B114" s="3"/>
      <c r="C114" s="3"/>
      <c r="D114" s="3"/>
      <c r="E114" s="3"/>
      <c r="F114" s="4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 spans="1:26" x14ac:dyDescent="0.25">
      <c r="A115" s="3"/>
      <c r="B115" s="3"/>
      <c r="C115" s="3"/>
      <c r="D115" s="3"/>
      <c r="E115" s="3"/>
      <c r="F115" s="4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 spans="1:26" x14ac:dyDescent="0.25">
      <c r="A116" s="3"/>
      <c r="B116" s="3"/>
      <c r="C116" s="3"/>
      <c r="D116" s="3"/>
      <c r="E116" s="3"/>
      <c r="F116" s="4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 spans="1:26" x14ac:dyDescent="0.25">
      <c r="A117" s="3"/>
      <c r="B117" s="3"/>
      <c r="C117" s="3"/>
      <c r="D117" s="3"/>
      <c r="E117" s="3"/>
      <c r="F117" s="4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 spans="1:26" x14ac:dyDescent="0.25">
      <c r="A118" s="3"/>
      <c r="B118" s="3"/>
      <c r="C118" s="3"/>
      <c r="D118" s="3"/>
      <c r="E118" s="3"/>
      <c r="F118" s="4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 spans="1:26" x14ac:dyDescent="0.25">
      <c r="A119" s="3"/>
      <c r="B119" s="3"/>
      <c r="C119" s="3"/>
      <c r="D119" s="3"/>
      <c r="E119" s="3"/>
      <c r="F119" s="4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 spans="1:26" x14ac:dyDescent="0.25">
      <c r="A120" s="3"/>
      <c r="B120" s="3"/>
      <c r="C120" s="3"/>
      <c r="D120" s="3"/>
      <c r="E120" s="3"/>
      <c r="F120" s="4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 spans="1:26" x14ac:dyDescent="0.25">
      <c r="A121" s="3"/>
      <c r="B121" s="3"/>
      <c r="C121" s="3"/>
      <c r="D121" s="3"/>
      <c r="E121" s="3"/>
      <c r="F121" s="4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 spans="1:26" x14ac:dyDescent="0.25">
      <c r="A122" s="3"/>
      <c r="B122" s="3"/>
      <c r="C122" s="3"/>
      <c r="D122" s="3"/>
      <c r="E122" s="3"/>
      <c r="F122" s="4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 spans="1:26" x14ac:dyDescent="0.25">
      <c r="A123" s="3"/>
      <c r="B123" s="3"/>
      <c r="C123" s="3"/>
      <c r="D123" s="3"/>
      <c r="E123" s="3"/>
      <c r="F123" s="4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 spans="1:26" x14ac:dyDescent="0.25">
      <c r="A124" s="3"/>
      <c r="B124" s="3"/>
      <c r="C124" s="3"/>
      <c r="D124" s="3"/>
      <c r="E124" s="3"/>
      <c r="F124" s="4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 spans="1:26" x14ac:dyDescent="0.25">
      <c r="A125" s="3"/>
      <c r="B125" s="3"/>
      <c r="C125" s="3"/>
      <c r="D125" s="3"/>
      <c r="E125" s="3"/>
      <c r="F125" s="4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 spans="1:26" x14ac:dyDescent="0.25">
      <c r="A126" s="3"/>
      <c r="B126" s="3"/>
      <c r="C126" s="3"/>
      <c r="D126" s="3"/>
      <c r="E126" s="3"/>
      <c r="F126" s="4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 spans="1:26" x14ac:dyDescent="0.25">
      <c r="A127" s="3"/>
      <c r="B127" s="3"/>
      <c r="C127" s="3"/>
      <c r="D127" s="3"/>
      <c r="E127" s="3"/>
      <c r="F127" s="4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 spans="1:26" x14ac:dyDescent="0.25">
      <c r="A128" s="3"/>
      <c r="B128" s="3"/>
      <c r="C128" s="3"/>
      <c r="D128" s="3"/>
      <c r="E128" s="3"/>
      <c r="F128" s="4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 spans="1:26" x14ac:dyDescent="0.25">
      <c r="A129" s="3"/>
      <c r="B129" s="3"/>
      <c r="C129" s="3"/>
      <c r="D129" s="3"/>
      <c r="E129" s="3"/>
      <c r="F129" s="4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 spans="1:26" x14ac:dyDescent="0.25">
      <c r="A130" s="3"/>
      <c r="B130" s="3"/>
      <c r="C130" s="3"/>
      <c r="D130" s="3"/>
      <c r="E130" s="3"/>
      <c r="F130" s="4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 spans="1:26" x14ac:dyDescent="0.25">
      <c r="A131" s="3"/>
      <c r="B131" s="3"/>
      <c r="C131" s="3"/>
      <c r="D131" s="3"/>
      <c r="E131" s="3"/>
      <c r="F131" s="4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 spans="1:26" x14ac:dyDescent="0.25">
      <c r="A132" s="3"/>
      <c r="B132" s="3"/>
      <c r="C132" s="3"/>
      <c r="D132" s="3"/>
      <c r="E132" s="3"/>
      <c r="F132" s="4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 spans="1:26" x14ac:dyDescent="0.25">
      <c r="A133" s="3"/>
      <c r="B133" s="3"/>
      <c r="C133" s="3"/>
      <c r="D133" s="3"/>
      <c r="E133" s="3"/>
      <c r="F133" s="4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 spans="1:26" x14ac:dyDescent="0.25">
      <c r="A134" s="3"/>
      <c r="B134" s="3"/>
      <c r="C134" s="3"/>
      <c r="D134" s="3"/>
      <c r="E134" s="3"/>
      <c r="F134" s="4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 spans="1:26" x14ac:dyDescent="0.25">
      <c r="A135" s="3"/>
      <c r="B135" s="3"/>
      <c r="C135" s="3"/>
      <c r="D135" s="3"/>
      <c r="E135" s="3"/>
      <c r="F135" s="4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 spans="1:26" x14ac:dyDescent="0.25">
      <c r="A136" s="3"/>
      <c r="B136" s="3"/>
      <c r="C136" s="3"/>
      <c r="D136" s="3"/>
      <c r="E136" s="3"/>
      <c r="F136" s="4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 spans="1:26" x14ac:dyDescent="0.25">
      <c r="A137" s="3"/>
      <c r="B137" s="3"/>
      <c r="C137" s="3"/>
      <c r="D137" s="3"/>
      <c r="E137" s="3"/>
      <c r="F137" s="4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 spans="1:26" x14ac:dyDescent="0.25">
      <c r="A138" s="3"/>
      <c r="B138" s="3"/>
      <c r="C138" s="3"/>
      <c r="D138" s="3"/>
      <c r="E138" s="3"/>
      <c r="F138" s="4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 spans="1:26" x14ac:dyDescent="0.25">
      <c r="A139" s="3"/>
      <c r="B139" s="3"/>
      <c r="C139" s="3"/>
      <c r="D139" s="3"/>
      <c r="E139" s="3"/>
      <c r="F139" s="4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 spans="1:26" x14ac:dyDescent="0.25">
      <c r="A140" s="3"/>
      <c r="B140" s="3"/>
      <c r="C140" s="3"/>
      <c r="D140" s="3"/>
      <c r="E140" s="3"/>
      <c r="F140" s="4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 spans="1:26" x14ac:dyDescent="0.25">
      <c r="A141" s="3"/>
      <c r="B141" s="3"/>
      <c r="C141" s="3"/>
      <c r="D141" s="3"/>
      <c r="E141" s="3"/>
      <c r="F141" s="4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 spans="1:26" x14ac:dyDescent="0.25">
      <c r="A142" s="3"/>
      <c r="B142" s="3"/>
      <c r="C142" s="3"/>
      <c r="D142" s="3"/>
      <c r="E142" s="3"/>
      <c r="F142" s="4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 spans="1:26" x14ac:dyDescent="0.25">
      <c r="A143" s="3"/>
      <c r="B143" s="3"/>
      <c r="C143" s="3"/>
      <c r="D143" s="3"/>
      <c r="E143" s="3"/>
      <c r="F143" s="4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 spans="1:26" x14ac:dyDescent="0.25">
      <c r="A144" s="3"/>
      <c r="B144" s="3"/>
      <c r="C144" s="3"/>
      <c r="D144" s="3"/>
      <c r="E144" s="3"/>
      <c r="F144" s="4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 spans="1:26" x14ac:dyDescent="0.25">
      <c r="A145" s="3"/>
      <c r="B145" s="3"/>
      <c r="C145" s="3"/>
      <c r="D145" s="3"/>
      <c r="E145" s="3"/>
      <c r="F145" s="4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 spans="1:26" x14ac:dyDescent="0.25">
      <c r="A146" s="3"/>
      <c r="B146" s="3"/>
      <c r="C146" s="3"/>
      <c r="D146" s="3"/>
      <c r="E146" s="3"/>
      <c r="F146" s="4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 spans="1:26" x14ac:dyDescent="0.25">
      <c r="A147" s="3"/>
      <c r="B147" s="3"/>
      <c r="C147" s="3"/>
      <c r="D147" s="3"/>
      <c r="E147" s="3"/>
      <c r="F147" s="4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 spans="1:26" x14ac:dyDescent="0.25">
      <c r="A148" s="3"/>
      <c r="B148" s="3"/>
      <c r="C148" s="3"/>
      <c r="D148" s="3"/>
      <c r="E148" s="3"/>
      <c r="F148" s="4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 spans="1:26" x14ac:dyDescent="0.25">
      <c r="A149" s="3"/>
      <c r="B149" s="3"/>
      <c r="C149" s="3"/>
      <c r="D149" s="3"/>
      <c r="E149" s="3"/>
      <c r="F149" s="4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 spans="1:26" x14ac:dyDescent="0.25">
      <c r="A150" s="3"/>
      <c r="B150" s="3"/>
      <c r="C150" s="3"/>
      <c r="D150" s="3"/>
      <c r="E150" s="3"/>
      <c r="F150" s="4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 spans="1:26" x14ac:dyDescent="0.25">
      <c r="A151" s="3"/>
      <c r="B151" s="3"/>
      <c r="C151" s="3"/>
      <c r="D151" s="3"/>
      <c r="E151" s="3"/>
      <c r="F151" s="4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 spans="1:26" x14ac:dyDescent="0.25">
      <c r="A152" s="3"/>
      <c r="B152" s="3"/>
      <c r="C152" s="3"/>
      <c r="D152" s="3"/>
      <c r="E152" s="3"/>
      <c r="F152" s="4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 spans="1:26" x14ac:dyDescent="0.25">
      <c r="A153" s="3"/>
      <c r="B153" s="3"/>
      <c r="C153" s="3"/>
      <c r="D153" s="3"/>
      <c r="E153" s="3"/>
      <c r="F153" s="4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 spans="1:26" x14ac:dyDescent="0.25">
      <c r="A154" s="3"/>
      <c r="B154" s="3"/>
      <c r="C154" s="3"/>
      <c r="D154" s="3"/>
      <c r="E154" s="3"/>
      <c r="F154" s="4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 spans="1:26" x14ac:dyDescent="0.25">
      <c r="A155" s="3"/>
      <c r="B155" s="3"/>
      <c r="C155" s="3"/>
      <c r="D155" s="3"/>
      <c r="E155" s="3"/>
      <c r="F155" s="4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 spans="1:26" x14ac:dyDescent="0.25">
      <c r="A156" s="3"/>
      <c r="B156" s="3"/>
      <c r="C156" s="3"/>
      <c r="D156" s="3"/>
      <c r="E156" s="3"/>
      <c r="F156" s="4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 spans="1:26" x14ac:dyDescent="0.25">
      <c r="A157" s="3"/>
      <c r="B157" s="3"/>
      <c r="C157" s="3"/>
      <c r="D157" s="3"/>
      <c r="E157" s="3"/>
      <c r="F157" s="4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 spans="1:26" x14ac:dyDescent="0.25">
      <c r="A158" s="3"/>
      <c r="B158" s="3"/>
      <c r="C158" s="3"/>
      <c r="D158" s="3"/>
      <c r="E158" s="3"/>
      <c r="F158" s="4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 spans="1:26" x14ac:dyDescent="0.25">
      <c r="A159" s="3"/>
      <c r="B159" s="3"/>
      <c r="C159" s="3"/>
      <c r="D159" s="3"/>
      <c r="E159" s="3"/>
      <c r="F159" s="4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 spans="1:26" x14ac:dyDescent="0.25">
      <c r="A160" s="3"/>
      <c r="B160" s="3"/>
      <c r="C160" s="3"/>
      <c r="D160" s="3"/>
      <c r="E160" s="3"/>
      <c r="F160" s="4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 spans="1:26" x14ac:dyDescent="0.25">
      <c r="A161" s="3"/>
      <c r="B161" s="3"/>
      <c r="C161" s="3"/>
      <c r="D161" s="3"/>
      <c r="E161" s="3"/>
      <c r="F161" s="4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 spans="1:26" x14ac:dyDescent="0.25">
      <c r="A162" s="3"/>
      <c r="B162" s="3"/>
      <c r="C162" s="3"/>
      <c r="D162" s="3"/>
      <c r="E162" s="3"/>
      <c r="F162" s="4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 spans="1:26" x14ac:dyDescent="0.25">
      <c r="A163" s="3"/>
      <c r="B163" s="3"/>
      <c r="C163" s="3"/>
      <c r="D163" s="3"/>
      <c r="E163" s="3"/>
      <c r="F163" s="4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 spans="1:26" x14ac:dyDescent="0.25">
      <c r="A164" s="3"/>
      <c r="B164" s="3"/>
      <c r="C164" s="3"/>
      <c r="D164" s="3"/>
      <c r="E164" s="3"/>
      <c r="F164" s="4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 spans="1:26" x14ac:dyDescent="0.25">
      <c r="A165" s="3"/>
      <c r="B165" s="3"/>
      <c r="C165" s="3"/>
      <c r="D165" s="3"/>
      <c r="E165" s="3"/>
      <c r="F165" s="4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 spans="1:26" x14ac:dyDescent="0.25">
      <c r="A166" s="3"/>
      <c r="B166" s="3"/>
      <c r="C166" s="3"/>
      <c r="D166" s="3"/>
      <c r="E166" s="3"/>
      <c r="F166" s="4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 spans="1:26" x14ac:dyDescent="0.25">
      <c r="A167" s="3"/>
      <c r="B167" s="3"/>
      <c r="C167" s="3"/>
      <c r="D167" s="3"/>
      <c r="E167" s="3"/>
      <c r="F167" s="4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 spans="1:26" x14ac:dyDescent="0.25">
      <c r="A168" s="3"/>
      <c r="B168" s="3"/>
      <c r="C168" s="3"/>
      <c r="D168" s="3"/>
      <c r="E168" s="3"/>
      <c r="F168" s="4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 spans="1:26" x14ac:dyDescent="0.25">
      <c r="A169" s="3"/>
      <c r="B169" s="3"/>
      <c r="C169" s="3"/>
      <c r="D169" s="3"/>
      <c r="E169" s="3"/>
      <c r="F169" s="4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 spans="1:26" x14ac:dyDescent="0.25">
      <c r="A170" s="3"/>
      <c r="B170" s="3"/>
      <c r="C170" s="3"/>
      <c r="D170" s="3"/>
      <c r="E170" s="3"/>
      <c r="F170" s="4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 spans="1:26" x14ac:dyDescent="0.25">
      <c r="A171" s="3"/>
      <c r="B171" s="3"/>
      <c r="C171" s="3"/>
      <c r="D171" s="3"/>
      <c r="E171" s="3"/>
      <c r="F171" s="4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 spans="1:26" x14ac:dyDescent="0.25">
      <c r="A172" s="3"/>
      <c r="B172" s="3"/>
      <c r="C172" s="3"/>
      <c r="D172" s="3"/>
      <c r="E172" s="3"/>
      <c r="F172" s="4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 spans="1:26" x14ac:dyDescent="0.25">
      <c r="A173" s="3"/>
      <c r="B173" s="3"/>
      <c r="C173" s="3"/>
      <c r="D173" s="3"/>
      <c r="E173" s="3"/>
      <c r="F173" s="4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 spans="1:26" x14ac:dyDescent="0.25">
      <c r="A174" s="3"/>
      <c r="B174" s="3"/>
      <c r="C174" s="3"/>
      <c r="D174" s="3"/>
      <c r="E174" s="3"/>
      <c r="F174" s="4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 spans="1:26" x14ac:dyDescent="0.25">
      <c r="A175" s="3"/>
      <c r="B175" s="3"/>
      <c r="C175" s="3"/>
      <c r="D175" s="3"/>
      <c r="E175" s="3"/>
      <c r="F175" s="4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 spans="1:26" x14ac:dyDescent="0.25">
      <c r="A176" s="3"/>
      <c r="B176" s="3"/>
      <c r="C176" s="3"/>
      <c r="D176" s="3"/>
      <c r="E176" s="3"/>
      <c r="F176" s="4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 spans="1:26" x14ac:dyDescent="0.25">
      <c r="A177" s="3"/>
      <c r="B177" s="3"/>
      <c r="C177" s="3"/>
      <c r="D177" s="3"/>
      <c r="E177" s="3"/>
      <c r="F177" s="4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 spans="1:26" x14ac:dyDescent="0.25">
      <c r="A178" s="3"/>
      <c r="B178" s="3"/>
      <c r="C178" s="3"/>
      <c r="D178" s="3"/>
      <c r="E178" s="3"/>
      <c r="F178" s="4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 spans="1:26" x14ac:dyDescent="0.25">
      <c r="A179" s="3"/>
      <c r="B179" s="3"/>
      <c r="C179" s="3"/>
      <c r="D179" s="3"/>
      <c r="E179" s="3"/>
      <c r="F179" s="4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 spans="1:26" x14ac:dyDescent="0.25">
      <c r="A180" s="3"/>
      <c r="B180" s="3"/>
      <c r="C180" s="3"/>
      <c r="D180" s="3"/>
      <c r="E180" s="3"/>
      <c r="F180" s="4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 spans="1:26" x14ac:dyDescent="0.25">
      <c r="A181" s="3"/>
      <c r="B181" s="3"/>
      <c r="C181" s="3"/>
      <c r="D181" s="3"/>
      <c r="E181" s="3"/>
      <c r="F181" s="4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 spans="1:26" x14ac:dyDescent="0.25">
      <c r="A182" s="3"/>
      <c r="B182" s="3"/>
      <c r="C182" s="3"/>
      <c r="D182" s="3"/>
      <c r="E182" s="3"/>
      <c r="F182" s="4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 spans="1:26" x14ac:dyDescent="0.25">
      <c r="A183" s="3"/>
      <c r="B183" s="3"/>
      <c r="C183" s="3"/>
      <c r="D183" s="3"/>
      <c r="E183" s="3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 spans="1:26" x14ac:dyDescent="0.25">
      <c r="A184" s="3"/>
      <c r="B184" s="3"/>
      <c r="C184" s="3"/>
      <c r="D184" s="3"/>
      <c r="E184" s="3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 spans="1:26" x14ac:dyDescent="0.25">
      <c r="A185" s="3"/>
      <c r="B185" s="3"/>
      <c r="C185" s="3"/>
      <c r="D185" s="3"/>
      <c r="E185" s="3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 spans="1:26" x14ac:dyDescent="0.25">
      <c r="A186" s="3"/>
      <c r="B186" s="3"/>
      <c r="C186" s="3"/>
      <c r="D186" s="3"/>
      <c r="E186" s="3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 spans="1:26" x14ac:dyDescent="0.25">
      <c r="A187" s="3"/>
      <c r="B187" s="3"/>
      <c r="C187" s="3"/>
      <c r="D187" s="3"/>
      <c r="E187" s="3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 spans="1:26" x14ac:dyDescent="0.25">
      <c r="A188" s="3"/>
      <c r="B188" s="3"/>
      <c r="C188" s="3"/>
      <c r="D188" s="3"/>
      <c r="E188" s="3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 spans="1:26" x14ac:dyDescent="0.25">
      <c r="A189" s="3"/>
      <c r="B189" s="3"/>
      <c r="C189" s="3"/>
      <c r="D189" s="3"/>
      <c r="E189" s="3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 spans="1:26" x14ac:dyDescent="0.25">
      <c r="A190" s="3"/>
      <c r="B190" s="3"/>
      <c r="C190" s="3"/>
      <c r="D190" s="3"/>
      <c r="E190" s="3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 spans="1:26" x14ac:dyDescent="0.25">
      <c r="A191" s="3"/>
      <c r="B191" s="3"/>
      <c r="C191" s="3"/>
      <c r="D191" s="3"/>
      <c r="E191" s="3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 spans="1:26" x14ac:dyDescent="0.25">
      <c r="A192" s="3"/>
      <c r="B192" s="3"/>
      <c r="C192" s="3"/>
      <c r="D192" s="3"/>
      <c r="E192" s="3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 spans="1:26" x14ac:dyDescent="0.25">
      <c r="A193" s="3"/>
      <c r="B193" s="3"/>
      <c r="C193" s="3"/>
      <c r="D193" s="3"/>
      <c r="E193" s="3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 spans="1:26" x14ac:dyDescent="0.25">
      <c r="A194" s="3"/>
      <c r="B194" s="3"/>
      <c r="C194" s="3"/>
      <c r="D194" s="3"/>
      <c r="E194" s="3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 spans="1:26" x14ac:dyDescent="0.25">
      <c r="A195" s="3"/>
      <c r="B195" s="3"/>
      <c r="C195" s="3"/>
      <c r="D195" s="3"/>
      <c r="E195" s="3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 spans="1:26" x14ac:dyDescent="0.25">
      <c r="A196" s="3"/>
      <c r="B196" s="3"/>
      <c r="C196" s="3"/>
      <c r="D196" s="3"/>
      <c r="E196" s="3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 spans="1:26" x14ac:dyDescent="0.25">
      <c r="A197" s="3"/>
      <c r="B197" s="3"/>
      <c r="C197" s="3"/>
      <c r="D197" s="3"/>
      <c r="E197" s="3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 spans="1:26" x14ac:dyDescent="0.25">
      <c r="A198" s="3"/>
      <c r="B198" s="3"/>
      <c r="C198" s="3"/>
      <c r="D198" s="3"/>
      <c r="E198" s="3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 spans="1:26" x14ac:dyDescent="0.25">
      <c r="A199" s="3"/>
      <c r="B199" s="3"/>
      <c r="C199" s="3"/>
      <c r="D199" s="3"/>
      <c r="E199" s="3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 spans="1:26" x14ac:dyDescent="0.25">
      <c r="A200" s="3"/>
      <c r="B200" s="3"/>
      <c r="C200" s="3"/>
      <c r="D200" s="3"/>
      <c r="E200" s="3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 spans="1:26" x14ac:dyDescent="0.25">
      <c r="A201" s="3"/>
      <c r="B201" s="3"/>
      <c r="C201" s="3"/>
      <c r="D201" s="3"/>
      <c r="E201" s="3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 spans="1:26" x14ac:dyDescent="0.25">
      <c r="A202" s="3"/>
      <c r="B202" s="3"/>
      <c r="C202" s="3"/>
      <c r="D202" s="3"/>
      <c r="E202" s="3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 spans="1:26" x14ac:dyDescent="0.25">
      <c r="A203" s="3"/>
      <c r="B203" s="3"/>
      <c r="C203" s="3"/>
      <c r="D203" s="3"/>
      <c r="E203" s="3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 spans="1:26" x14ac:dyDescent="0.25">
      <c r="A204" s="3"/>
      <c r="B204" s="3"/>
      <c r="C204" s="3"/>
      <c r="D204" s="3"/>
      <c r="E204" s="3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 spans="1:26" x14ac:dyDescent="0.25">
      <c r="A205" s="3"/>
      <c r="B205" s="3"/>
      <c r="C205" s="3"/>
      <c r="D205" s="3"/>
      <c r="E205" s="3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 spans="1:26" x14ac:dyDescent="0.25">
      <c r="A206" s="3"/>
      <c r="B206" s="3"/>
      <c r="C206" s="3"/>
      <c r="D206" s="3"/>
      <c r="E206" s="3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 spans="1:26" x14ac:dyDescent="0.25">
      <c r="A207" s="3"/>
      <c r="B207" s="3"/>
      <c r="C207" s="3"/>
      <c r="D207" s="3"/>
      <c r="E207" s="3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 spans="1:26" x14ac:dyDescent="0.25">
      <c r="A208" s="3"/>
      <c r="B208" s="3"/>
      <c r="C208" s="3"/>
      <c r="D208" s="3"/>
      <c r="E208" s="3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 spans="1:26" x14ac:dyDescent="0.25">
      <c r="A209" s="3"/>
      <c r="B209" s="3"/>
      <c r="C209" s="3"/>
      <c r="D209" s="3"/>
      <c r="E209" s="3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 spans="1:26" x14ac:dyDescent="0.25">
      <c r="A210" s="3"/>
      <c r="B210" s="3"/>
      <c r="C210" s="3"/>
      <c r="D210" s="3"/>
      <c r="E210" s="3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 spans="1:26" x14ac:dyDescent="0.25">
      <c r="A211" s="3"/>
      <c r="B211" s="3"/>
      <c r="C211" s="3"/>
      <c r="D211" s="3"/>
      <c r="E211" s="3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 spans="1:26" x14ac:dyDescent="0.25">
      <c r="A212" s="3"/>
      <c r="B212" s="3"/>
      <c r="C212" s="3"/>
      <c r="D212" s="3"/>
      <c r="E212" s="3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 spans="1:26" x14ac:dyDescent="0.25">
      <c r="A213" s="3"/>
      <c r="B213" s="3"/>
      <c r="C213" s="3"/>
      <c r="D213" s="3"/>
      <c r="E213" s="3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 spans="1:26" x14ac:dyDescent="0.25">
      <c r="A214" s="3"/>
      <c r="B214" s="3"/>
      <c r="C214" s="3"/>
      <c r="D214" s="3"/>
      <c r="E214" s="3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 spans="1:26" x14ac:dyDescent="0.25">
      <c r="A215" s="3"/>
      <c r="B215" s="3"/>
      <c r="C215" s="3"/>
      <c r="D215" s="3"/>
      <c r="E215" s="3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 spans="1:26" x14ac:dyDescent="0.25">
      <c r="A216" s="3"/>
      <c r="B216" s="3"/>
      <c r="C216" s="3"/>
      <c r="D216" s="3"/>
      <c r="E216" s="3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 spans="1:26" x14ac:dyDescent="0.25">
      <c r="A217" s="3"/>
      <c r="B217" s="3"/>
      <c r="C217" s="3"/>
      <c r="D217" s="3"/>
      <c r="E217" s="3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 spans="1:26" x14ac:dyDescent="0.25">
      <c r="A218" s="3"/>
      <c r="B218" s="3"/>
      <c r="C218" s="3"/>
      <c r="D218" s="3"/>
      <c r="E218" s="3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 spans="1:26" x14ac:dyDescent="0.25">
      <c r="A219" s="3"/>
      <c r="B219" s="3"/>
      <c r="C219" s="3"/>
      <c r="D219" s="3"/>
      <c r="E219" s="3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 spans="1:26" x14ac:dyDescent="0.25">
      <c r="A220" s="3"/>
      <c r="B220" s="3"/>
      <c r="C220" s="3"/>
      <c r="D220" s="3"/>
      <c r="E220" s="3"/>
      <c r="F220" s="4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 spans="1:26" x14ac:dyDescent="0.25">
      <c r="A221" s="3"/>
      <c r="B221" s="3"/>
      <c r="C221" s="3"/>
      <c r="D221" s="3"/>
      <c r="E221" s="3"/>
      <c r="F221" s="4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 spans="1:26" x14ac:dyDescent="0.25">
      <c r="A222" s="3"/>
      <c r="B222" s="3"/>
      <c r="C222" s="3"/>
      <c r="D222" s="3"/>
      <c r="E222" s="3"/>
      <c r="F222" s="4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 spans="1:26" x14ac:dyDescent="0.25">
      <c r="A223" s="3"/>
      <c r="B223" s="3"/>
      <c r="C223" s="3"/>
      <c r="D223" s="3"/>
      <c r="E223" s="3"/>
      <c r="F223" s="4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 spans="1:26" x14ac:dyDescent="0.25">
      <c r="A224" s="3"/>
      <c r="B224" s="3"/>
      <c r="C224" s="3"/>
      <c r="D224" s="3"/>
      <c r="E224" s="3"/>
      <c r="F224" s="4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 spans="1:26" x14ac:dyDescent="0.25">
      <c r="A225" s="3"/>
      <c r="B225" s="3"/>
      <c r="C225" s="3"/>
      <c r="D225" s="3"/>
      <c r="E225" s="3"/>
      <c r="F225" s="4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 spans="1:26" x14ac:dyDescent="0.25">
      <c r="A226" s="3"/>
      <c r="B226" s="3"/>
      <c r="C226" s="3"/>
      <c r="D226" s="3"/>
      <c r="E226" s="3"/>
      <c r="F226" s="4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 spans="1:26" x14ac:dyDescent="0.25">
      <c r="A227" s="3"/>
      <c r="B227" s="3"/>
      <c r="C227" s="3"/>
      <c r="D227" s="3"/>
      <c r="E227" s="3"/>
      <c r="F227" s="4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 spans="1:26" x14ac:dyDescent="0.25">
      <c r="A228" s="3"/>
      <c r="B228" s="3"/>
      <c r="C228" s="3"/>
      <c r="D228" s="3"/>
      <c r="E228" s="3"/>
      <c r="F228" s="4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 spans="1:26" x14ac:dyDescent="0.25">
      <c r="A229" s="3"/>
      <c r="B229" s="3"/>
      <c r="C229" s="3"/>
      <c r="D229" s="3"/>
      <c r="E229" s="3"/>
      <c r="F229" s="4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 spans="1:26" x14ac:dyDescent="0.25">
      <c r="A230" s="3"/>
      <c r="B230" s="3"/>
      <c r="C230" s="3"/>
      <c r="D230" s="3"/>
      <c r="E230" s="3"/>
      <c r="F230" s="4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 spans="1:26" x14ac:dyDescent="0.25">
      <c r="A231" s="3"/>
      <c r="B231" s="3"/>
      <c r="C231" s="3"/>
      <c r="D231" s="3"/>
      <c r="E231" s="3"/>
      <c r="F231" s="4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 spans="1:26" x14ac:dyDescent="0.25">
      <c r="A232" s="3"/>
      <c r="B232" s="3"/>
      <c r="C232" s="3"/>
      <c r="D232" s="3"/>
      <c r="E232" s="3"/>
      <c r="F232" s="4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 spans="1:26" x14ac:dyDescent="0.25">
      <c r="A233" s="3"/>
      <c r="B233" s="3"/>
      <c r="C233" s="3"/>
      <c r="D233" s="3"/>
      <c r="E233" s="3"/>
      <c r="F233" s="4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 spans="1:26" x14ac:dyDescent="0.25">
      <c r="A234" s="3"/>
      <c r="B234" s="3"/>
      <c r="C234" s="3"/>
      <c r="D234" s="3"/>
      <c r="E234" s="3"/>
      <c r="F234" s="4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 spans="1:26" x14ac:dyDescent="0.25">
      <c r="A235" s="3"/>
      <c r="B235" s="3"/>
      <c r="C235" s="3"/>
      <c r="D235" s="3"/>
      <c r="E235" s="3"/>
      <c r="F235" s="4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 spans="1:26" x14ac:dyDescent="0.25">
      <c r="A236" s="3"/>
      <c r="B236" s="3"/>
      <c r="C236" s="3"/>
      <c r="D236" s="3"/>
      <c r="E236" s="3"/>
      <c r="F236" s="4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 spans="1:26" x14ac:dyDescent="0.25">
      <c r="A237" s="3"/>
      <c r="B237" s="3"/>
      <c r="C237" s="3"/>
      <c r="D237" s="3"/>
      <c r="E237" s="3"/>
      <c r="F237" s="4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 spans="1:26" x14ac:dyDescent="0.25">
      <c r="A238" s="3"/>
      <c r="B238" s="3"/>
      <c r="C238" s="3"/>
      <c r="D238" s="3"/>
      <c r="E238" s="3"/>
      <c r="F238" s="4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 spans="1:26" x14ac:dyDescent="0.25">
      <c r="A239" s="3"/>
      <c r="B239" s="3"/>
      <c r="C239" s="3"/>
      <c r="D239" s="3"/>
      <c r="E239" s="3"/>
      <c r="F239" s="4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 spans="1:26" x14ac:dyDescent="0.25">
      <c r="A240" s="3"/>
      <c r="B240" s="3"/>
      <c r="C240" s="3"/>
      <c r="D240" s="3"/>
      <c r="E240" s="3"/>
      <c r="F240" s="4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 spans="1:26" x14ac:dyDescent="0.25">
      <c r="A241" s="3"/>
      <c r="B241" s="3"/>
      <c r="C241" s="3"/>
      <c r="D241" s="3"/>
      <c r="E241" s="3"/>
      <c r="F241" s="4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 spans="1:26" x14ac:dyDescent="0.25">
      <c r="A242" s="3"/>
      <c r="B242" s="3"/>
      <c r="C242" s="3"/>
      <c r="D242" s="3"/>
      <c r="E242" s="3"/>
      <c r="F242" s="4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 spans="1:26" x14ac:dyDescent="0.25">
      <c r="A243" s="3"/>
      <c r="B243" s="3"/>
      <c r="C243" s="3"/>
      <c r="D243" s="3"/>
      <c r="E243" s="3"/>
      <c r="F243" s="4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 spans="1:26" x14ac:dyDescent="0.25">
      <c r="A244" s="3"/>
      <c r="B244" s="3"/>
      <c r="C244" s="3"/>
      <c r="D244" s="3"/>
      <c r="E244" s="3"/>
      <c r="F244" s="4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 spans="1:26" x14ac:dyDescent="0.25">
      <c r="A245" s="3"/>
      <c r="B245" s="3"/>
      <c r="C245" s="3"/>
      <c r="D245" s="3"/>
      <c r="E245" s="3"/>
      <c r="F245" s="4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 spans="1:26" x14ac:dyDescent="0.25">
      <c r="A246" s="3"/>
      <c r="B246" s="3"/>
      <c r="C246" s="3"/>
      <c r="D246" s="3"/>
      <c r="E246" s="3"/>
      <c r="F246" s="4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 spans="1:26" x14ac:dyDescent="0.25">
      <c r="A247" s="3"/>
      <c r="B247" s="3"/>
      <c r="C247" s="3"/>
      <c r="D247" s="3"/>
      <c r="E247" s="3"/>
      <c r="F247" s="4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 spans="1:26" x14ac:dyDescent="0.25">
      <c r="A248" s="3"/>
      <c r="B248" s="3"/>
      <c r="C248" s="3"/>
      <c r="D248" s="3"/>
      <c r="E248" s="3"/>
      <c r="F248" s="4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 spans="1:26" x14ac:dyDescent="0.25">
      <c r="A249" s="3"/>
      <c r="B249" s="3"/>
      <c r="C249" s="3"/>
      <c r="D249" s="3"/>
      <c r="E249" s="3"/>
      <c r="F249" s="4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 spans="1:26" x14ac:dyDescent="0.25">
      <c r="A250" s="3"/>
      <c r="B250" s="3"/>
      <c r="C250" s="3"/>
      <c r="D250" s="3"/>
      <c r="E250" s="3"/>
      <c r="F250" s="4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 spans="1:26" x14ac:dyDescent="0.25">
      <c r="A251" s="3"/>
      <c r="B251" s="3"/>
      <c r="C251" s="3"/>
      <c r="D251" s="3"/>
      <c r="E251" s="3"/>
      <c r="F251" s="4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 spans="1:26" x14ac:dyDescent="0.25">
      <c r="A252" s="3"/>
      <c r="B252" s="3"/>
      <c r="C252" s="3"/>
      <c r="D252" s="3"/>
      <c r="E252" s="3"/>
      <c r="F252" s="4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 spans="1:26" x14ac:dyDescent="0.25">
      <c r="A253" s="3"/>
      <c r="B253" s="3"/>
      <c r="C253" s="3"/>
      <c r="D253" s="3"/>
      <c r="E253" s="3"/>
      <c r="F253" s="4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 spans="1:26" x14ac:dyDescent="0.25">
      <c r="A254" s="3"/>
      <c r="B254" s="3"/>
      <c r="C254" s="3"/>
      <c r="D254" s="3"/>
      <c r="E254" s="3"/>
      <c r="F254" s="4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 spans="1:26" x14ac:dyDescent="0.25">
      <c r="A255" s="3"/>
      <c r="B255" s="3"/>
      <c r="C255" s="3"/>
      <c r="D255" s="3"/>
      <c r="E255" s="3"/>
      <c r="F255" s="4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0">
    <mergeCell ref="B2:D2"/>
    <mergeCell ref="B4:B5"/>
    <mergeCell ref="C4:C5"/>
    <mergeCell ref="D4:D5"/>
    <mergeCell ref="E4:E5"/>
    <mergeCell ref="F4:F5"/>
    <mergeCell ref="H4:H5"/>
    <mergeCell ref="I4:I5"/>
    <mergeCell ref="B6:B7"/>
    <mergeCell ref="C6:C7"/>
    <mergeCell ref="D6:D7"/>
    <mergeCell ref="E6:E7"/>
    <mergeCell ref="F6:F7"/>
    <mergeCell ref="H6:H7"/>
    <mergeCell ref="I6:I7"/>
    <mergeCell ref="B8:B9"/>
    <mergeCell ref="C8:C9"/>
    <mergeCell ref="D8:D9"/>
    <mergeCell ref="E8:E9"/>
    <mergeCell ref="F8:F9"/>
    <mergeCell ref="H8:H9"/>
    <mergeCell ref="I8:I9"/>
    <mergeCell ref="B10:B11"/>
    <mergeCell ref="C10:C11"/>
    <mergeCell ref="D10:D11"/>
    <mergeCell ref="E10:E11"/>
    <mergeCell ref="F10:F11"/>
    <mergeCell ref="H10:H11"/>
    <mergeCell ref="I10:I11"/>
    <mergeCell ref="B12:B13"/>
    <mergeCell ref="C12:C13"/>
    <mergeCell ref="D12:D13"/>
    <mergeCell ref="E12:E13"/>
    <mergeCell ref="F12:F13"/>
    <mergeCell ref="H12:H13"/>
    <mergeCell ref="I12:I13"/>
    <mergeCell ref="B14:B15"/>
    <mergeCell ref="C14:C15"/>
    <mergeCell ref="D14:D15"/>
    <mergeCell ref="E14:E15"/>
    <mergeCell ref="F14:F15"/>
    <mergeCell ref="H14:H15"/>
    <mergeCell ref="I14:I15"/>
    <mergeCell ref="B16:B17"/>
    <mergeCell ref="C16:C17"/>
    <mergeCell ref="D16:D17"/>
    <mergeCell ref="E16:E17"/>
    <mergeCell ref="F16:F17"/>
    <mergeCell ref="H16:H17"/>
    <mergeCell ref="I16:I17"/>
    <mergeCell ref="B18:B19"/>
    <mergeCell ref="C18:C19"/>
    <mergeCell ref="D18:D19"/>
    <mergeCell ref="E18:E19"/>
    <mergeCell ref="F18:F19"/>
    <mergeCell ref="H18:H19"/>
    <mergeCell ref="I18:I19"/>
    <mergeCell ref="B20:B21"/>
    <mergeCell ref="C20:C21"/>
    <mergeCell ref="D20:D21"/>
    <mergeCell ref="E20:E21"/>
    <mergeCell ref="F20:F21"/>
    <mergeCell ref="H20:H21"/>
    <mergeCell ref="I20:I21"/>
    <mergeCell ref="B22:B23"/>
    <mergeCell ref="C22:C23"/>
    <mergeCell ref="D22:D23"/>
    <mergeCell ref="E22:E23"/>
    <mergeCell ref="F22:F23"/>
    <mergeCell ref="H22:H23"/>
    <mergeCell ref="I22:I23"/>
    <mergeCell ref="B24:B25"/>
    <mergeCell ref="C24:C25"/>
    <mergeCell ref="D24:D25"/>
    <mergeCell ref="E24:E25"/>
    <mergeCell ref="F24:F25"/>
    <mergeCell ref="H24:H25"/>
    <mergeCell ref="I24:I25"/>
    <mergeCell ref="B26:B27"/>
    <mergeCell ref="C26:C27"/>
    <mergeCell ref="D26:D27"/>
    <mergeCell ref="E26:E27"/>
    <mergeCell ref="F26:F27"/>
    <mergeCell ref="H26:H27"/>
    <mergeCell ref="I26:I27"/>
    <mergeCell ref="B31:D31"/>
    <mergeCell ref="B33:B34"/>
    <mergeCell ref="C33:C34"/>
    <mergeCell ref="D33:D34"/>
    <mergeCell ref="E33:E34"/>
    <mergeCell ref="F33:F34"/>
    <mergeCell ref="H33:H34"/>
    <mergeCell ref="I33:I34"/>
    <mergeCell ref="B35:B36"/>
    <mergeCell ref="C35:C36"/>
    <mergeCell ref="D35:D36"/>
    <mergeCell ref="E35:E36"/>
    <mergeCell ref="F35:F36"/>
    <mergeCell ref="H35:H36"/>
    <mergeCell ref="I35:I36"/>
    <mergeCell ref="B37:B38"/>
    <mergeCell ref="C37:C38"/>
    <mergeCell ref="D37:D38"/>
    <mergeCell ref="E37:E38"/>
    <mergeCell ref="F37:F38"/>
    <mergeCell ref="H37:H38"/>
    <mergeCell ref="I37:I38"/>
    <mergeCell ref="B39:B40"/>
    <mergeCell ref="C39:C40"/>
    <mergeCell ref="D39:D40"/>
    <mergeCell ref="E39:E40"/>
    <mergeCell ref="F39:F40"/>
    <mergeCell ref="H39:H40"/>
    <mergeCell ref="I39:I40"/>
    <mergeCell ref="B41:B42"/>
    <mergeCell ref="C41:C42"/>
    <mergeCell ref="D41:D42"/>
    <mergeCell ref="E41:E42"/>
    <mergeCell ref="F41:F42"/>
    <mergeCell ref="H41:H42"/>
    <mergeCell ref="I41:I42"/>
    <mergeCell ref="B43:B44"/>
    <mergeCell ref="C43:C44"/>
    <mergeCell ref="D43:D44"/>
    <mergeCell ref="E43:E44"/>
    <mergeCell ref="F43:F44"/>
    <mergeCell ref="H43:H44"/>
    <mergeCell ref="I43:I44"/>
    <mergeCell ref="B45:B46"/>
    <mergeCell ref="C45:C46"/>
    <mergeCell ref="D45:D46"/>
    <mergeCell ref="E45:E46"/>
    <mergeCell ref="F45:F46"/>
    <mergeCell ref="H45:H46"/>
    <mergeCell ref="I45:I46"/>
    <mergeCell ref="B47:B48"/>
    <mergeCell ref="C47:C48"/>
    <mergeCell ref="D47:D48"/>
    <mergeCell ref="E47:E48"/>
    <mergeCell ref="F47:F48"/>
    <mergeCell ref="H47:H48"/>
    <mergeCell ref="I47:I48"/>
    <mergeCell ref="B49:B50"/>
    <mergeCell ref="C49:C50"/>
    <mergeCell ref="D49:D50"/>
    <mergeCell ref="E49:E50"/>
    <mergeCell ref="F49:F50"/>
    <mergeCell ref="H49:H50"/>
    <mergeCell ref="I49:I50"/>
    <mergeCell ref="B51:B52"/>
    <mergeCell ref="C51:C52"/>
    <mergeCell ref="D51:D52"/>
    <mergeCell ref="E51:E52"/>
    <mergeCell ref="F51:F52"/>
    <mergeCell ref="H51:H52"/>
    <mergeCell ref="I51:I52"/>
    <mergeCell ref="B53:B54"/>
    <mergeCell ref="C53:C54"/>
    <mergeCell ref="D53:D54"/>
    <mergeCell ref="E53:E54"/>
    <mergeCell ref="F53:F54"/>
    <mergeCell ref="H53:H54"/>
    <mergeCell ref="I53:I54"/>
    <mergeCell ref="B55:B56"/>
    <mergeCell ref="C55:C56"/>
    <mergeCell ref="D55:D56"/>
    <mergeCell ref="E55:E56"/>
    <mergeCell ref="F55:F56"/>
    <mergeCell ref="H55:H56"/>
    <mergeCell ref="I55:I56"/>
  </mergeCells>
  <printOptions gridLines="1" horizontalCentered="1"/>
  <pageMargins left="0.7" right="0.7" top="0.75" bottom="0.75" header="0" footer="0"/>
  <pageSetup paperSize="9" orientation="landscape" horizontalDpi="4294967295" verticalDpi="4294967295" pageOrder="overThenDown" cellComments="atEnd" scale="100" fitToWidth="1" fitToHeight="0" firstPageNumber="1" useFirstPageNumber="1" copies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868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100</v>
      </c>
      <c r="D4" s="193">
        <v>55</v>
      </c>
      <c r="E4" s="193">
        <v>60</v>
      </c>
      <c r="F4" s="194">
        <v>55</v>
      </c>
      <c r="G4" s="193">
        <v>55</v>
      </c>
      <c r="H4" s="193">
        <v>55</v>
      </c>
      <c r="I4" s="193">
        <v>55</v>
      </c>
      <c r="J4" s="194">
        <v>55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100</v>
      </c>
      <c r="D5" s="198">
        <v>55</v>
      </c>
      <c r="E5" s="198">
        <v>60</v>
      </c>
      <c r="F5" s="199">
        <v>55</v>
      </c>
      <c r="G5" s="198">
        <v>55</v>
      </c>
      <c r="H5" s="198">
        <v>55</v>
      </c>
      <c r="I5" s="198">
        <v>55</v>
      </c>
      <c r="J5" s="199">
        <v>55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100</v>
      </c>
      <c r="D7" s="198">
        <v>55</v>
      </c>
      <c r="E7" s="198">
        <v>60</v>
      </c>
      <c r="F7" s="199">
        <v>55</v>
      </c>
      <c r="G7" s="198">
        <v>60</v>
      </c>
      <c r="H7" s="198">
        <v>55</v>
      </c>
      <c r="I7" s="198">
        <v>60</v>
      </c>
      <c r="J7" s="199">
        <v>55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100</v>
      </c>
      <c r="D8" s="198">
        <v>55</v>
      </c>
      <c r="E8" s="198">
        <v>60</v>
      </c>
      <c r="F8" s="199">
        <v>40</v>
      </c>
      <c r="G8" s="198">
        <v>60</v>
      </c>
      <c r="H8" s="198">
        <v>55</v>
      </c>
      <c r="I8" s="198">
        <v>60</v>
      </c>
      <c r="J8" s="199">
        <v>55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100</v>
      </c>
      <c r="D9" s="198">
        <v>55</v>
      </c>
      <c r="E9" s="198">
        <v>55</v>
      </c>
      <c r="F9" s="199">
        <v>40</v>
      </c>
      <c r="G9" s="198">
        <v>60</v>
      </c>
      <c r="H9" s="198">
        <v>55</v>
      </c>
      <c r="I9" s="198">
        <v>60</v>
      </c>
      <c r="J9" s="199">
        <v>55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>
        <v>100</v>
      </c>
      <c r="D10" s="198">
        <v>60</v>
      </c>
      <c r="E10" s="198">
        <v>55</v>
      </c>
      <c r="F10" s="199"/>
      <c r="G10" s="198"/>
      <c r="H10" s="198">
        <v>55</v>
      </c>
      <c r="I10" s="198">
        <v>60</v>
      </c>
      <c r="J10" s="199">
        <v>55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110</v>
      </c>
      <c r="D11" s="198">
        <v>60</v>
      </c>
      <c r="E11" s="198">
        <v>55</v>
      </c>
      <c r="F11" s="199">
        <v>40</v>
      </c>
      <c r="G11" s="198">
        <v>60</v>
      </c>
      <c r="H11" s="198">
        <v>55</v>
      </c>
      <c r="I11" s="198">
        <v>60</v>
      </c>
      <c r="J11" s="199">
        <v>55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>
        <v>40</v>
      </c>
      <c r="G12" s="198">
        <v>60</v>
      </c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115</v>
      </c>
      <c r="D13" s="198">
        <v>65</v>
      </c>
      <c r="E13" s="198">
        <v>55</v>
      </c>
      <c r="F13" s="199">
        <v>40</v>
      </c>
      <c r="G13" s="198">
        <v>60</v>
      </c>
      <c r="H13" s="198">
        <v>55</v>
      </c>
      <c r="I13" s="198">
        <v>60</v>
      </c>
      <c r="J13" s="199">
        <v>60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115</v>
      </c>
      <c r="D14" s="198">
        <v>60</v>
      </c>
      <c r="E14" s="198">
        <v>60</v>
      </c>
      <c r="F14" s="199">
        <v>40</v>
      </c>
      <c r="G14" s="198">
        <v>60</v>
      </c>
      <c r="H14" s="198">
        <v>55</v>
      </c>
      <c r="I14" s="198">
        <v>60</v>
      </c>
      <c r="J14" s="199">
        <v>60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115</v>
      </c>
      <c r="D15" s="206">
        <v>60</v>
      </c>
      <c r="E15" s="206">
        <v>90</v>
      </c>
      <c r="F15" s="207">
        <v>40</v>
      </c>
      <c r="G15" s="206">
        <v>60</v>
      </c>
      <c r="H15" s="206">
        <v>55</v>
      </c>
      <c r="I15" s="206">
        <v>60</v>
      </c>
      <c r="J15" s="207">
        <v>60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498.5</v>
      </c>
      <c r="C16" s="229">
        <f t="shared" ref="C16:K16" si="0">IFERROR(AVERAGE(C4:C15),0)</f>
        <v>105.5</v>
      </c>
      <c r="D16" s="229">
        <f t="shared" si="0"/>
        <v>58</v>
      </c>
      <c r="E16" s="229">
        <f t="shared" si="0"/>
        <v>61</v>
      </c>
      <c r="F16" s="229">
        <f t="shared" si="0"/>
        <v>44.5</v>
      </c>
      <c r="G16" s="229">
        <f t="shared" si="0"/>
        <v>59</v>
      </c>
      <c r="H16" s="229">
        <f t="shared" si="0"/>
        <v>55</v>
      </c>
      <c r="I16" s="229">
        <f t="shared" si="0"/>
        <v>59</v>
      </c>
      <c r="J16" s="229">
        <f t="shared" si="0"/>
        <v>56.5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869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120</v>
      </c>
      <c r="D4" s="193">
        <v>70</v>
      </c>
      <c r="E4" s="193">
        <v>65</v>
      </c>
      <c r="F4" s="194">
        <v>55</v>
      </c>
      <c r="G4" s="193">
        <v>70</v>
      </c>
      <c r="H4" s="193">
        <v>65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120</v>
      </c>
      <c r="D5" s="198">
        <v>70</v>
      </c>
      <c r="E5" s="198">
        <v>65</v>
      </c>
      <c r="F5" s="199">
        <v>55</v>
      </c>
      <c r="G5" s="198">
        <v>70</v>
      </c>
      <c r="H5" s="198">
        <v>65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130</v>
      </c>
      <c r="D7" s="198">
        <v>75</v>
      </c>
      <c r="E7" s="198">
        <v>70</v>
      </c>
      <c r="F7" s="199">
        <v>55</v>
      </c>
      <c r="G7" s="198">
        <v>70</v>
      </c>
      <c r="H7" s="198">
        <v>65</v>
      </c>
      <c r="I7" s="198">
        <v>70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130</v>
      </c>
      <c r="D8" s="198">
        <v>70</v>
      </c>
      <c r="E8" s="198">
        <v>70</v>
      </c>
      <c r="F8" s="199">
        <v>60</v>
      </c>
      <c r="G8" s="198">
        <v>70</v>
      </c>
      <c r="H8" s="198">
        <v>70</v>
      </c>
      <c r="I8" s="198">
        <v>70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130</v>
      </c>
      <c r="D9" s="198">
        <v>70</v>
      </c>
      <c r="E9" s="198">
        <v>70</v>
      </c>
      <c r="F9" s="199">
        <v>60</v>
      </c>
      <c r="G9" s="198">
        <v>70</v>
      </c>
      <c r="H9" s="198">
        <v>70</v>
      </c>
      <c r="I9" s="198">
        <v>70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>
        <v>130</v>
      </c>
      <c r="D10" s="198">
        <v>70</v>
      </c>
      <c r="E10" s="198">
        <v>65</v>
      </c>
      <c r="F10" s="199">
        <v>60</v>
      </c>
      <c r="G10" s="198">
        <v>70</v>
      </c>
      <c r="H10" s="198">
        <v>70</v>
      </c>
      <c r="I10" s="198">
        <v>70</v>
      </c>
      <c r="J10" s="199">
        <v>70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130</v>
      </c>
      <c r="D11" s="198">
        <v>70</v>
      </c>
      <c r="E11" s="198">
        <v>65</v>
      </c>
      <c r="F11" s="199">
        <v>60</v>
      </c>
      <c r="G11" s="198">
        <v>70</v>
      </c>
      <c r="H11" s="198">
        <v>70</v>
      </c>
      <c r="I11" s="198">
        <v>70</v>
      </c>
      <c r="J11" s="199">
        <v>70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130</v>
      </c>
      <c r="D13" s="198">
        <v>70</v>
      </c>
      <c r="E13" s="198">
        <v>65</v>
      </c>
      <c r="F13" s="199">
        <v>60</v>
      </c>
      <c r="G13" s="198">
        <v>70</v>
      </c>
      <c r="H13" s="198">
        <v>70</v>
      </c>
      <c r="I13" s="198">
        <v>70</v>
      </c>
      <c r="J13" s="199">
        <v>70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130</v>
      </c>
      <c r="D14" s="198">
        <v>70</v>
      </c>
      <c r="E14" s="198">
        <v>95</v>
      </c>
      <c r="F14" s="199">
        <v>90</v>
      </c>
      <c r="G14" s="198">
        <v>70</v>
      </c>
      <c r="H14" s="198">
        <v>70</v>
      </c>
      <c r="I14" s="198">
        <v>70</v>
      </c>
      <c r="J14" s="199">
        <v>70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130</v>
      </c>
      <c r="D15" s="206">
        <v>70</v>
      </c>
      <c r="E15" s="206">
        <v>65</v>
      </c>
      <c r="F15" s="207">
        <v>60</v>
      </c>
      <c r="G15" s="206">
        <v>70</v>
      </c>
      <c r="H15" s="206">
        <v>70</v>
      </c>
      <c r="I15" s="206">
        <v>70</v>
      </c>
      <c r="J15" s="207">
        <v>70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606</v>
      </c>
      <c r="C16" s="229">
        <f t="shared" ref="C16:K16" si="0">IFERROR(AVERAGE(C4:C15),0)</f>
        <v>128</v>
      </c>
      <c r="D16" s="229">
        <f t="shared" si="0"/>
        <v>70.5</v>
      </c>
      <c r="E16" s="229">
        <f t="shared" si="0"/>
        <v>69.5</v>
      </c>
      <c r="F16" s="229">
        <f t="shared" si="0"/>
        <v>61.5</v>
      </c>
      <c r="G16" s="229">
        <f t="shared" si="0"/>
        <v>70</v>
      </c>
      <c r="H16" s="229">
        <f t="shared" si="0"/>
        <v>68.5</v>
      </c>
      <c r="I16" s="229">
        <f t="shared" si="0"/>
        <v>69</v>
      </c>
      <c r="J16" s="229">
        <f t="shared" si="0"/>
        <v>69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870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/>
      <c r="C4" s="193">
        <v>100</v>
      </c>
      <c r="D4" s="193">
        <v>70</v>
      </c>
      <c r="E4" s="193">
        <v>70</v>
      </c>
      <c r="F4" s="194">
        <v>70</v>
      </c>
      <c r="G4" s="193">
        <v>65</v>
      </c>
      <c r="H4" s="193">
        <v>65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/>
      <c r="C5" s="198">
        <v>100</v>
      </c>
      <c r="D5" s="198">
        <v>70</v>
      </c>
      <c r="E5" s="198">
        <v>70</v>
      </c>
      <c r="F5" s="199">
        <v>70</v>
      </c>
      <c r="G5" s="198">
        <v>60</v>
      </c>
      <c r="H5" s="198">
        <v>65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/>
      <c r="C6" s="198"/>
      <c r="D6" s="198"/>
      <c r="E6" s="198"/>
      <c r="F6" s="199"/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/>
      <c r="C7" s="198">
        <v>130</v>
      </c>
      <c r="D7" s="198">
        <v>65</v>
      </c>
      <c r="E7" s="198">
        <v>65</v>
      </c>
      <c r="F7" s="199">
        <v>65</v>
      </c>
      <c r="G7" s="198">
        <v>60</v>
      </c>
      <c r="H7" s="198">
        <v>65</v>
      </c>
      <c r="I7" s="198">
        <v>70</v>
      </c>
      <c r="J7" s="199">
        <v>65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/>
      <c r="C8" s="198">
        <v>130</v>
      </c>
      <c r="D8" s="198">
        <v>65</v>
      </c>
      <c r="E8" s="198">
        <v>70</v>
      </c>
      <c r="F8" s="199">
        <v>65</v>
      </c>
      <c r="G8" s="198">
        <v>60</v>
      </c>
      <c r="H8" s="198">
        <v>65</v>
      </c>
      <c r="I8" s="198">
        <v>70</v>
      </c>
      <c r="J8" s="199">
        <v>65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>
        <v>130</v>
      </c>
      <c r="D9" s="198">
        <v>65</v>
      </c>
      <c r="E9" s="198">
        <v>70</v>
      </c>
      <c r="F9" s="199">
        <v>70</v>
      </c>
      <c r="G9" s="198">
        <v>60</v>
      </c>
      <c r="H9" s="198">
        <v>65</v>
      </c>
      <c r="I9" s="198"/>
      <c r="J9" s="199">
        <v>65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>
        <v>125</v>
      </c>
      <c r="D10" s="198"/>
      <c r="E10" s="198"/>
      <c r="F10" s="199"/>
      <c r="G10" s="198"/>
      <c r="H10" s="198"/>
      <c r="I10" s="198">
        <v>65</v>
      </c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>
        <v>125</v>
      </c>
      <c r="D11" s="198">
        <v>70</v>
      </c>
      <c r="E11" s="198">
        <v>65</v>
      </c>
      <c r="F11" s="199">
        <v>70</v>
      </c>
      <c r="G11" s="198">
        <v>60</v>
      </c>
      <c r="H11" s="198">
        <v>70</v>
      </c>
      <c r="I11" s="198">
        <v>65</v>
      </c>
      <c r="J11" s="199">
        <v>65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>
        <v>70</v>
      </c>
      <c r="E12" s="198">
        <v>65</v>
      </c>
      <c r="F12" s="199">
        <v>65</v>
      </c>
      <c r="G12" s="198">
        <v>65</v>
      </c>
      <c r="H12" s="198">
        <v>70</v>
      </c>
      <c r="I12" s="198">
        <v>70</v>
      </c>
      <c r="J12" s="199">
        <v>65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>
        <v>125</v>
      </c>
      <c r="D13" s="198">
        <v>70</v>
      </c>
      <c r="E13" s="198">
        <v>70</v>
      </c>
      <c r="F13" s="199">
        <v>65</v>
      </c>
      <c r="G13" s="198">
        <v>65</v>
      </c>
      <c r="H13" s="198">
        <v>70</v>
      </c>
      <c r="I13" s="198">
        <v>70</v>
      </c>
      <c r="J13" s="199">
        <v>65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>
        <v>125</v>
      </c>
      <c r="D14" s="198">
        <v>65</v>
      </c>
      <c r="E14" s="198">
        <v>70</v>
      </c>
      <c r="F14" s="199">
        <v>70</v>
      </c>
      <c r="G14" s="198">
        <v>65</v>
      </c>
      <c r="H14" s="198">
        <v>70</v>
      </c>
      <c r="I14" s="198">
        <v>70</v>
      </c>
      <c r="J14" s="199">
        <v>65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>
        <v>125</v>
      </c>
      <c r="D15" s="206">
        <v>65</v>
      </c>
      <c r="E15" s="206">
        <v>70</v>
      </c>
      <c r="F15" s="207">
        <v>70</v>
      </c>
      <c r="G15" s="206">
        <v>65</v>
      </c>
      <c r="H15" s="206">
        <v>70</v>
      </c>
      <c r="I15" s="206">
        <v>70</v>
      </c>
      <c r="J15" s="207">
        <v>65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588.5</v>
      </c>
      <c r="C16" s="229">
        <f t="shared" ref="C16:K16" si="0">IFERROR(AVERAGE(C4:C15),0)</f>
        <v>121.5</v>
      </c>
      <c r="D16" s="229">
        <f t="shared" si="0"/>
        <v>67.5</v>
      </c>
      <c r="E16" s="229">
        <f t="shared" si="0"/>
        <v>68.5</v>
      </c>
      <c r="F16" s="229">
        <f t="shared" si="0"/>
        <v>68</v>
      </c>
      <c r="G16" s="229">
        <f t="shared" si="0"/>
        <v>62.5</v>
      </c>
      <c r="H16" s="229">
        <f t="shared" si="0"/>
        <v>67.5</v>
      </c>
      <c r="I16" s="229">
        <f t="shared" si="0"/>
        <v>68</v>
      </c>
      <c r="J16" s="229">
        <f t="shared" si="0"/>
        <v>65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871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 t="s">
        <v>872</v>
      </c>
      <c r="C4" s="193">
        <v>120</v>
      </c>
      <c r="D4" s="193">
        <v>85</v>
      </c>
      <c r="E4" s="193">
        <v>70</v>
      </c>
      <c r="F4" s="194">
        <v>65</v>
      </c>
      <c r="G4" s="193">
        <v>50</v>
      </c>
      <c r="H4" s="193">
        <v>60</v>
      </c>
      <c r="I4" s="193">
        <v>65</v>
      </c>
      <c r="J4" s="194">
        <v>55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100</v>
      </c>
      <c r="E5" s="198">
        <v>100</v>
      </c>
      <c r="F5" s="199">
        <v>100</v>
      </c>
      <c r="G5" s="198">
        <v>75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200</v>
      </c>
      <c r="D6" s="198">
        <v>100</v>
      </c>
      <c r="E6" s="198">
        <v>100</v>
      </c>
      <c r="F6" s="199">
        <v>100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100</v>
      </c>
      <c r="E7" s="198">
        <v>100</v>
      </c>
      <c r="F7" s="199">
        <v>100</v>
      </c>
      <c r="G7" s="198">
        <v>75</v>
      </c>
      <c r="H7" s="198">
        <v>70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100</v>
      </c>
      <c r="E8" s="198">
        <v>90</v>
      </c>
      <c r="F8" s="199">
        <v>90</v>
      </c>
      <c r="G8" s="198">
        <v>75</v>
      </c>
      <c r="H8" s="198">
        <v>65</v>
      </c>
      <c r="I8" s="198">
        <v>75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200</v>
      </c>
      <c r="D9" s="198">
        <v>100</v>
      </c>
      <c r="E9" s="198">
        <v>95</v>
      </c>
      <c r="F9" s="199">
        <v>95</v>
      </c>
      <c r="G9" s="198">
        <v>75</v>
      </c>
      <c r="H9" s="198">
        <v>70</v>
      </c>
      <c r="I9" s="198">
        <v>75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2">
        <v>46221</v>
      </c>
      <c r="C10" s="198">
        <v>200</v>
      </c>
      <c r="D10" s="198">
        <v>100</v>
      </c>
      <c r="E10" s="198">
        <v>100</v>
      </c>
      <c r="F10" s="199">
        <v>100</v>
      </c>
      <c r="G10" s="198">
        <v>65</v>
      </c>
      <c r="H10" s="198">
        <v>75</v>
      </c>
      <c r="I10" s="198">
        <v>70</v>
      </c>
      <c r="J10" s="199">
        <v>70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200</v>
      </c>
      <c r="D11" s="198">
        <v>100</v>
      </c>
      <c r="E11" s="198">
        <v>95</v>
      </c>
      <c r="F11" s="199">
        <v>100</v>
      </c>
      <c r="G11" s="198">
        <v>69</v>
      </c>
      <c r="H11" s="198">
        <v>70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190</v>
      </c>
      <c r="D12" s="198">
        <v>100</v>
      </c>
      <c r="E12" s="198">
        <v>96</v>
      </c>
      <c r="F12" s="199">
        <v>96</v>
      </c>
      <c r="G12" s="198">
        <v>65</v>
      </c>
      <c r="H12" s="198">
        <v>65</v>
      </c>
      <c r="I12" s="198">
        <v>75</v>
      </c>
      <c r="J12" s="199">
        <v>69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198">
        <v>175</v>
      </c>
      <c r="D13" s="198">
        <v>100</v>
      </c>
      <c r="E13" s="198">
        <v>100</v>
      </c>
      <c r="F13" s="199">
        <v>100</v>
      </c>
      <c r="G13" s="198">
        <v>70</v>
      </c>
      <c r="H13" s="198">
        <v>60</v>
      </c>
      <c r="I13" s="198">
        <v>75</v>
      </c>
      <c r="J13" s="199">
        <v>69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198">
        <v>195</v>
      </c>
      <c r="D14" s="198">
        <v>100</v>
      </c>
      <c r="E14" s="198">
        <v>100</v>
      </c>
      <c r="F14" s="199">
        <v>95</v>
      </c>
      <c r="G14" s="198">
        <v>70</v>
      </c>
      <c r="H14" s="198">
        <v>69</v>
      </c>
      <c r="I14" s="198">
        <v>65</v>
      </c>
      <c r="J14" s="199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197">
        <v>46232</v>
      </c>
      <c r="C15" s="206">
        <v>150</v>
      </c>
      <c r="D15" s="206">
        <v>100</v>
      </c>
      <c r="E15" s="206">
        <v>100</v>
      </c>
      <c r="F15" s="207">
        <v>85</v>
      </c>
      <c r="G15" s="206">
        <v>69</v>
      </c>
      <c r="H15" s="206">
        <v>65</v>
      </c>
      <c r="I15" s="206">
        <v>75</v>
      </c>
      <c r="J15" s="207">
        <v>69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773.4166667</v>
      </c>
      <c r="C16" s="229">
        <f t="shared" ref="C16:K16" si="0">IFERROR(AVERAGE(C4:C15),0)</f>
        <v>192.5</v>
      </c>
      <c r="D16" s="229">
        <f t="shared" si="0"/>
        <v>100</v>
      </c>
      <c r="E16" s="229">
        <f t="shared" si="0"/>
        <v>98</v>
      </c>
      <c r="F16" s="229">
        <f t="shared" si="0"/>
        <v>96.75</v>
      </c>
      <c r="G16" s="229">
        <f t="shared" si="0"/>
        <v>71.5</v>
      </c>
      <c r="H16" s="229">
        <f t="shared" si="0"/>
        <v>68.25</v>
      </c>
      <c r="I16" s="229">
        <f t="shared" si="0"/>
        <v>73.75</v>
      </c>
      <c r="J16" s="229">
        <f t="shared" si="0"/>
        <v>72.66666667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873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 t="s">
        <v>872</v>
      </c>
      <c r="C4" s="193">
        <v>265</v>
      </c>
      <c r="D4" s="193">
        <v>60</v>
      </c>
      <c r="E4" s="193">
        <v>70</v>
      </c>
      <c r="F4" s="194">
        <v>0</v>
      </c>
      <c r="G4" s="193">
        <v>55</v>
      </c>
      <c r="H4" s="193">
        <v>70</v>
      </c>
      <c r="I4" s="193">
        <v>50</v>
      </c>
      <c r="J4" s="194">
        <v>55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250</v>
      </c>
      <c r="D5" s="198">
        <v>100</v>
      </c>
      <c r="E5" s="198">
        <v>100</v>
      </c>
      <c r="F5" s="199">
        <v>100</v>
      </c>
      <c r="G5" s="198">
        <v>75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275</v>
      </c>
      <c r="D6" s="198">
        <v>100</v>
      </c>
      <c r="E6" s="198">
        <v>100</v>
      </c>
      <c r="F6" s="199">
        <v>100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250</v>
      </c>
      <c r="D7" s="198">
        <v>100</v>
      </c>
      <c r="E7" s="198">
        <v>100</v>
      </c>
      <c r="F7" s="199">
        <v>100</v>
      </c>
      <c r="G7" s="198">
        <v>75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100</v>
      </c>
      <c r="E8" s="198">
        <v>100</v>
      </c>
      <c r="F8" s="199">
        <v>100</v>
      </c>
      <c r="G8" s="198">
        <v>75</v>
      </c>
      <c r="H8" s="198">
        <v>70</v>
      </c>
      <c r="I8" s="198">
        <v>75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250</v>
      </c>
      <c r="D9" s="198">
        <v>100</v>
      </c>
      <c r="E9" s="198">
        <v>100</v>
      </c>
      <c r="F9" s="199">
        <v>100</v>
      </c>
      <c r="G9" s="198">
        <v>75</v>
      </c>
      <c r="H9" s="198">
        <v>75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2">
        <v>46221</v>
      </c>
      <c r="C10" s="230"/>
      <c r="D10" s="230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231"/>
      <c r="D11" s="231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231"/>
      <c r="D12" s="231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232"/>
      <c r="D13" s="232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232"/>
      <c r="D14" s="232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197">
        <v>46232</v>
      </c>
      <c r="C15" s="232"/>
      <c r="D15" s="232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843.3333333</v>
      </c>
      <c r="C16" s="229">
        <f t="shared" ref="C16:K16" si="0">IFERROR(AVERAGE(C4:C15),0)</f>
        <v>245.8333333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75</v>
      </c>
      <c r="H16" s="229">
        <f t="shared" si="0"/>
        <v>74.16666667</v>
      </c>
      <c r="I16" s="229">
        <f t="shared" si="0"/>
        <v>73.33333333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D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874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100</v>
      </c>
      <c r="E4" s="193">
        <v>85</v>
      </c>
      <c r="F4" s="194">
        <v>85</v>
      </c>
      <c r="G4" s="193">
        <v>75</v>
      </c>
      <c r="H4" s="193">
        <v>75</v>
      </c>
      <c r="I4" s="193">
        <v>69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195</v>
      </c>
      <c r="D5" s="198">
        <v>100</v>
      </c>
      <c r="E5" s="198">
        <v>90</v>
      </c>
      <c r="F5" s="199">
        <v>90</v>
      </c>
      <c r="G5" s="198">
        <v>75</v>
      </c>
      <c r="H5" s="198">
        <v>70</v>
      </c>
      <c r="I5" s="198">
        <v>65</v>
      </c>
      <c r="J5" s="199">
        <v>69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200</v>
      </c>
      <c r="D6" s="198">
        <v>100</v>
      </c>
      <c r="E6" s="198">
        <v>90</v>
      </c>
      <c r="F6" s="199">
        <v>90</v>
      </c>
      <c r="G6" s="198">
        <v>65</v>
      </c>
      <c r="H6" s="198">
        <v>70</v>
      </c>
      <c r="I6" s="198">
        <v>70</v>
      </c>
      <c r="J6" s="199">
        <v>70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100</v>
      </c>
      <c r="E7" s="198">
        <v>85</v>
      </c>
      <c r="F7" s="199">
        <v>85</v>
      </c>
      <c r="G7" s="198">
        <v>70</v>
      </c>
      <c r="H7" s="198">
        <v>70</v>
      </c>
      <c r="I7" s="198">
        <v>73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100</v>
      </c>
      <c r="E8" s="198">
        <v>90</v>
      </c>
      <c r="F8" s="199">
        <v>90</v>
      </c>
      <c r="G8" s="198">
        <v>65</v>
      </c>
      <c r="H8" s="198">
        <v>65</v>
      </c>
      <c r="I8" s="198">
        <v>70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185</v>
      </c>
      <c r="D9" s="198">
        <v>100</v>
      </c>
      <c r="E9" s="198">
        <v>95</v>
      </c>
      <c r="F9" s="199">
        <v>95</v>
      </c>
      <c r="G9" s="198">
        <v>75</v>
      </c>
      <c r="H9" s="198">
        <v>75</v>
      </c>
      <c r="I9" s="198">
        <v>75</v>
      </c>
      <c r="J9" s="199">
        <v>65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756</v>
      </c>
      <c r="C16" s="229">
        <f t="shared" ref="C16:K16" si="0">IFERROR(AVERAGE(C4:C15),0)</f>
        <v>196.6666667</v>
      </c>
      <c r="D16" s="229">
        <f t="shared" si="0"/>
        <v>100</v>
      </c>
      <c r="E16" s="229">
        <f t="shared" si="0"/>
        <v>89.16666667</v>
      </c>
      <c r="F16" s="229">
        <f t="shared" si="0"/>
        <v>89.16666667</v>
      </c>
      <c r="G16" s="229">
        <f t="shared" si="0"/>
        <v>70.83333333</v>
      </c>
      <c r="H16" s="229">
        <f t="shared" si="0"/>
        <v>70.83333333</v>
      </c>
      <c r="I16" s="229">
        <f t="shared" si="0"/>
        <v>70.33333333</v>
      </c>
      <c r="J16" s="229">
        <f t="shared" si="0"/>
        <v>69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875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100</v>
      </c>
      <c r="E4" s="193">
        <v>85</v>
      </c>
      <c r="F4" s="194">
        <v>85</v>
      </c>
      <c r="G4" s="193">
        <v>75</v>
      </c>
      <c r="H4" s="193">
        <v>75</v>
      </c>
      <c r="I4" s="193">
        <v>70</v>
      </c>
      <c r="J4" s="194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100</v>
      </c>
      <c r="E5" s="198">
        <v>95</v>
      </c>
      <c r="F5" s="199">
        <v>95</v>
      </c>
      <c r="G5" s="198">
        <v>75</v>
      </c>
      <c r="H5" s="198">
        <v>65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195</v>
      </c>
      <c r="D6" s="198">
        <v>100</v>
      </c>
      <c r="E6" s="198">
        <v>100</v>
      </c>
      <c r="F6" s="199">
        <v>100</v>
      </c>
      <c r="G6" s="198">
        <v>75</v>
      </c>
      <c r="H6" s="198">
        <v>75</v>
      </c>
      <c r="I6" s="198">
        <v>70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100</v>
      </c>
      <c r="E7" s="198">
        <v>98</v>
      </c>
      <c r="F7" s="199">
        <v>98</v>
      </c>
      <c r="G7" s="198">
        <v>65</v>
      </c>
      <c r="H7" s="198">
        <v>75</v>
      </c>
      <c r="I7" s="198">
        <v>70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100</v>
      </c>
      <c r="E8" s="198">
        <v>100</v>
      </c>
      <c r="F8" s="199">
        <v>100</v>
      </c>
      <c r="G8" s="198">
        <v>75</v>
      </c>
      <c r="H8" s="198">
        <v>75</v>
      </c>
      <c r="I8" s="198">
        <v>65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185</v>
      </c>
      <c r="D9" s="198">
        <v>100</v>
      </c>
      <c r="E9" s="198">
        <v>100</v>
      </c>
      <c r="F9" s="199">
        <v>95</v>
      </c>
      <c r="G9" s="198">
        <v>65</v>
      </c>
      <c r="H9" s="198">
        <v>69</v>
      </c>
      <c r="I9" s="198">
        <v>70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777.5</v>
      </c>
      <c r="C16" s="229">
        <f t="shared" ref="C16:K16" si="0">IFERROR(AVERAGE(C4:C15),0)</f>
        <v>196.6666667</v>
      </c>
      <c r="D16" s="229">
        <f t="shared" si="0"/>
        <v>100</v>
      </c>
      <c r="E16" s="229">
        <f t="shared" si="0"/>
        <v>96.33333333</v>
      </c>
      <c r="F16" s="229">
        <f t="shared" si="0"/>
        <v>95.5</v>
      </c>
      <c r="G16" s="229">
        <f t="shared" si="0"/>
        <v>71.66666667</v>
      </c>
      <c r="H16" s="229">
        <f t="shared" si="0"/>
        <v>72.33333333</v>
      </c>
      <c r="I16" s="229">
        <f t="shared" si="0"/>
        <v>70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250</v>
      </c>
      <c r="D4" s="193">
        <v>100</v>
      </c>
      <c r="E4" s="193">
        <v>95</v>
      </c>
      <c r="F4" s="194">
        <v>95</v>
      </c>
      <c r="G4" s="193">
        <v>75</v>
      </c>
      <c r="H4" s="193">
        <v>75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100</v>
      </c>
      <c r="E5" s="198">
        <v>95</v>
      </c>
      <c r="F5" s="199">
        <v>95</v>
      </c>
      <c r="G5" s="198">
        <v>65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195</v>
      </c>
      <c r="D6" s="198">
        <v>100</v>
      </c>
      <c r="E6" s="198">
        <v>95</v>
      </c>
      <c r="F6" s="199">
        <v>95</v>
      </c>
      <c r="G6" s="198">
        <v>70</v>
      </c>
      <c r="H6" s="198">
        <v>75</v>
      </c>
      <c r="I6" s="198">
        <v>65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100</v>
      </c>
      <c r="E7" s="198">
        <v>97</v>
      </c>
      <c r="F7" s="199">
        <v>97</v>
      </c>
      <c r="G7" s="198">
        <v>69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100</v>
      </c>
      <c r="E8" s="198">
        <v>95</v>
      </c>
      <c r="F8" s="199">
        <v>95</v>
      </c>
      <c r="G8" s="198">
        <v>70</v>
      </c>
      <c r="H8" s="198">
        <v>75</v>
      </c>
      <c r="I8" s="198">
        <v>75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200</v>
      </c>
      <c r="D9" s="198">
        <v>100</v>
      </c>
      <c r="E9" s="198">
        <v>100</v>
      </c>
      <c r="F9" s="199">
        <v>100</v>
      </c>
      <c r="G9" s="198">
        <v>75</v>
      </c>
      <c r="H9" s="198">
        <v>75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790.5</v>
      </c>
      <c r="C16" s="229">
        <f t="shared" ref="C16:K16" si="0">IFERROR(AVERAGE(C4:C15),0)</f>
        <v>207.5</v>
      </c>
      <c r="D16" s="229">
        <f t="shared" si="0"/>
        <v>100</v>
      </c>
      <c r="E16" s="229">
        <f t="shared" si="0"/>
        <v>96.16666667</v>
      </c>
      <c r="F16" s="229">
        <f t="shared" si="0"/>
        <v>96.16666667</v>
      </c>
      <c r="G16" s="229">
        <f t="shared" si="0"/>
        <v>70.66666667</v>
      </c>
      <c r="H16" s="229">
        <f t="shared" si="0"/>
        <v>75</v>
      </c>
      <c r="I16" s="229">
        <f t="shared" si="0"/>
        <v>71.66666667</v>
      </c>
      <c r="J16" s="229">
        <f t="shared" si="0"/>
        <v>73.33333333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275</v>
      </c>
      <c r="D4" s="193">
        <v>100</v>
      </c>
      <c r="E4" s="193">
        <v>95</v>
      </c>
      <c r="F4" s="194">
        <v>95</v>
      </c>
      <c r="G4" s="193">
        <v>75</v>
      </c>
      <c r="H4" s="193">
        <v>75</v>
      </c>
      <c r="I4" s="193">
        <v>75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100</v>
      </c>
      <c r="E5" s="198">
        <v>100</v>
      </c>
      <c r="F5" s="199">
        <v>100</v>
      </c>
      <c r="G5" s="198">
        <v>75</v>
      </c>
      <c r="H5" s="198">
        <v>72</v>
      </c>
      <c r="I5" s="198">
        <v>75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200</v>
      </c>
      <c r="D6" s="198">
        <v>100</v>
      </c>
      <c r="E6" s="198">
        <v>95</v>
      </c>
      <c r="F6" s="199">
        <v>95</v>
      </c>
      <c r="G6" s="198">
        <v>65</v>
      </c>
      <c r="H6" s="198">
        <v>75</v>
      </c>
      <c r="I6" s="198">
        <v>65</v>
      </c>
      <c r="J6" s="199">
        <v>73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280</v>
      </c>
      <c r="D7" s="198">
        <v>100</v>
      </c>
      <c r="E7" s="198">
        <v>95</v>
      </c>
      <c r="F7" s="199">
        <v>95</v>
      </c>
      <c r="G7" s="198">
        <v>70</v>
      </c>
      <c r="H7" s="198">
        <v>75</v>
      </c>
      <c r="I7" s="198">
        <v>60</v>
      </c>
      <c r="J7" s="199">
        <v>68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100</v>
      </c>
      <c r="E8" s="198">
        <v>100</v>
      </c>
      <c r="F8" s="199">
        <v>100</v>
      </c>
      <c r="G8" s="198">
        <v>75</v>
      </c>
      <c r="H8" s="198">
        <v>65</v>
      </c>
      <c r="I8" s="198">
        <v>55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200</v>
      </c>
      <c r="D9" s="198">
        <v>100</v>
      </c>
      <c r="E9" s="198">
        <v>100</v>
      </c>
      <c r="F9" s="199">
        <v>100</v>
      </c>
      <c r="G9" s="198">
        <v>75</v>
      </c>
      <c r="H9" s="198">
        <v>70</v>
      </c>
      <c r="I9" s="198">
        <v>70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802.1666667</v>
      </c>
      <c r="C16" s="229">
        <f t="shared" ref="C16:K16" si="0">IFERROR(AVERAGE(C4:C15),0)</f>
        <v>225.8333333</v>
      </c>
      <c r="D16" s="229">
        <f t="shared" si="0"/>
        <v>100</v>
      </c>
      <c r="E16" s="229">
        <f t="shared" si="0"/>
        <v>97.5</v>
      </c>
      <c r="F16" s="229">
        <f t="shared" si="0"/>
        <v>97.5</v>
      </c>
      <c r="G16" s="229">
        <f t="shared" si="0"/>
        <v>72.5</v>
      </c>
      <c r="H16" s="229">
        <f t="shared" si="0"/>
        <v>72</v>
      </c>
      <c r="I16" s="229">
        <f t="shared" si="0"/>
        <v>66.66666667</v>
      </c>
      <c r="J16" s="229">
        <f t="shared" si="0"/>
        <v>70.16666667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35">
        <v>235</v>
      </c>
      <c r="D4" s="235">
        <v>68</v>
      </c>
      <c r="E4" s="235">
        <v>72</v>
      </c>
      <c r="F4" s="235">
        <v>72</v>
      </c>
      <c r="G4" s="235">
        <v>60</v>
      </c>
      <c r="H4" s="235">
        <v>59</v>
      </c>
      <c r="I4" s="235">
        <v>62</v>
      </c>
      <c r="J4" s="235">
        <v>52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35">
        <v>205</v>
      </c>
      <c r="D5" s="235">
        <v>71</v>
      </c>
      <c r="E5" s="235">
        <v>76</v>
      </c>
      <c r="F5" s="235">
        <v>68</v>
      </c>
      <c r="G5" s="235">
        <v>53</v>
      </c>
      <c r="H5" s="235">
        <v>59</v>
      </c>
      <c r="I5" s="235">
        <v>58</v>
      </c>
      <c r="J5" s="235">
        <v>54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35">
        <v>243</v>
      </c>
      <c r="D6" s="235">
        <v>68</v>
      </c>
      <c r="E6" s="235">
        <v>81</v>
      </c>
      <c r="F6" s="235">
        <v>79</v>
      </c>
      <c r="G6" s="235">
        <v>55</v>
      </c>
      <c r="H6" s="235">
        <v>53</v>
      </c>
      <c r="I6" s="235">
        <v>62</v>
      </c>
      <c r="J6" s="235">
        <v>55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35">
        <v>209</v>
      </c>
      <c r="D7" s="235">
        <v>82</v>
      </c>
      <c r="E7" s="235">
        <v>78</v>
      </c>
      <c r="F7" s="235">
        <v>81</v>
      </c>
      <c r="G7" s="235">
        <v>60</v>
      </c>
      <c r="H7" s="235">
        <v>57</v>
      </c>
      <c r="I7" s="235">
        <v>63</v>
      </c>
      <c r="J7" s="235">
        <v>56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35">
        <v>244</v>
      </c>
      <c r="D8" s="235">
        <v>78</v>
      </c>
      <c r="E8" s="235">
        <v>82</v>
      </c>
      <c r="F8" s="235">
        <v>77</v>
      </c>
      <c r="G8" s="235">
        <v>59</v>
      </c>
      <c r="H8" s="235">
        <v>52</v>
      </c>
      <c r="I8" s="235">
        <v>54</v>
      </c>
      <c r="J8" s="235">
        <v>54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35">
        <v>215</v>
      </c>
      <c r="D9" s="235">
        <v>70</v>
      </c>
      <c r="E9" s="235">
        <v>72</v>
      </c>
      <c r="F9" s="235">
        <v>78</v>
      </c>
      <c r="G9" s="235">
        <v>55</v>
      </c>
      <c r="H9" s="235">
        <v>55</v>
      </c>
      <c r="I9" s="235">
        <v>54</v>
      </c>
      <c r="J9" s="235">
        <v>54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35">
        <v>235</v>
      </c>
      <c r="D10" s="235">
        <v>78</v>
      </c>
      <c r="E10" s="235">
        <v>71</v>
      </c>
      <c r="F10" s="235">
        <v>80</v>
      </c>
      <c r="G10" s="235">
        <v>53</v>
      </c>
      <c r="H10" s="235">
        <v>56</v>
      </c>
      <c r="I10" s="235">
        <v>63</v>
      </c>
      <c r="J10" s="235">
        <v>59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35">
        <v>237</v>
      </c>
      <c r="D11" s="235">
        <v>81</v>
      </c>
      <c r="E11" s="235">
        <v>80</v>
      </c>
      <c r="F11" s="235">
        <v>72</v>
      </c>
      <c r="G11" s="235">
        <v>51</v>
      </c>
      <c r="H11" s="235">
        <v>55</v>
      </c>
      <c r="I11" s="235">
        <v>54</v>
      </c>
      <c r="J11" s="235">
        <v>54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35">
        <v>246</v>
      </c>
      <c r="D12" s="235">
        <v>73</v>
      </c>
      <c r="E12" s="235">
        <v>78</v>
      </c>
      <c r="F12" s="235">
        <v>74</v>
      </c>
      <c r="G12" s="235">
        <v>62</v>
      </c>
      <c r="H12" s="235">
        <v>57</v>
      </c>
      <c r="I12" s="235">
        <v>54</v>
      </c>
      <c r="J12" s="235">
        <v>54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35">
        <v>217</v>
      </c>
      <c r="D13" s="235">
        <v>77</v>
      </c>
      <c r="E13" s="235">
        <v>82</v>
      </c>
      <c r="F13" s="235">
        <v>74</v>
      </c>
      <c r="G13" s="235">
        <v>54</v>
      </c>
      <c r="H13" s="235">
        <v>63</v>
      </c>
      <c r="I13" s="235">
        <v>57</v>
      </c>
      <c r="J13" s="235">
        <v>52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35">
        <v>209</v>
      </c>
      <c r="D14" s="235">
        <v>78</v>
      </c>
      <c r="E14" s="235">
        <v>81</v>
      </c>
      <c r="F14" s="235">
        <v>75</v>
      </c>
      <c r="G14" s="235">
        <v>52</v>
      </c>
      <c r="H14" s="235">
        <v>56</v>
      </c>
      <c r="I14" s="235">
        <v>63</v>
      </c>
      <c r="J14" s="235">
        <v>57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/>
      <c r="C15" s="235">
        <v>245</v>
      </c>
      <c r="D15" s="235">
        <v>68</v>
      </c>
      <c r="E15" s="235">
        <v>80</v>
      </c>
      <c r="F15" s="235">
        <v>79</v>
      </c>
      <c r="G15" s="235">
        <v>57</v>
      </c>
      <c r="H15" s="235">
        <v>54</v>
      </c>
      <c r="I15" s="235">
        <v>59</v>
      </c>
      <c r="J15" s="235">
        <v>52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681.4166667</v>
      </c>
      <c r="C16" s="229">
        <f t="shared" ref="C16:K16" si="0">IFERROR(AVERAGE(C4:C15),0)</f>
        <v>228.3333333</v>
      </c>
      <c r="D16" s="229">
        <f t="shared" si="0"/>
        <v>74.33333333</v>
      </c>
      <c r="E16" s="229">
        <f t="shared" si="0"/>
        <v>77.75</v>
      </c>
      <c r="F16" s="229">
        <f t="shared" si="0"/>
        <v>75.75</v>
      </c>
      <c r="G16" s="229">
        <f t="shared" si="0"/>
        <v>55.91666667</v>
      </c>
      <c r="H16" s="229">
        <f t="shared" si="0"/>
        <v>56.33333333</v>
      </c>
      <c r="I16" s="229">
        <f t="shared" si="0"/>
        <v>58.58333333</v>
      </c>
      <c r="J16" s="229">
        <f t="shared" si="0"/>
        <v>54.41666667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0" summaryRight="0"/>
  </sheetPr>
  <dimension ref="A1:Z1000"/>
  <sheetViews>
    <sheetView workbookViewId="0" rightToLeft="1" zoomScale="100" zoomScaleNormal="100"/>
  </sheetViews>
  <sheetFormatPr defaultRowHeight="15" outlineLevelRow="0" outlineLevelCol="0" x14ac:dyDescent="0" defaultColWidth="12.63"/>
  <cols>
    <col min="1" max="1" width="3.5" customWidth="1"/>
    <col min="2" max="2" width="5.13" customWidth="1"/>
    <col min="3" max="3" width="17" customWidth="1"/>
    <col min="4" max="4" width="10.38" customWidth="1"/>
    <col min="5" max="5" width="10.5" customWidth="1"/>
    <col min="6" max="6" width="22.88" customWidth="1"/>
    <col min="7" max="7" width="25.63" customWidth="1"/>
    <col min="8" max="8" width="17.25" customWidth="1"/>
    <col min="9" max="9" width="20.5" customWidth="1"/>
  </cols>
  <sheetData>
    <row r="1" ht="15.75" customHeight="1" spans="1:26" x14ac:dyDescent="0.25">
      <c r="A1" s="2"/>
      <c r="B1" s="3"/>
      <c r="C1" s="3"/>
      <c r="D1" s="3"/>
      <c r="E1" s="3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 spans="1:26" x14ac:dyDescent="0.25">
      <c r="A2" s="3"/>
      <c r="B2" s="5" t="s">
        <v>2</v>
      </c>
      <c r="C2"/>
      <c r="D2"/>
      <c r="E2" s="5" t="s">
        <v>3</v>
      </c>
      <c r="F2" s="6" t="s">
        <v>4</v>
      </c>
      <c r="G2" s="4"/>
      <c r="H2" s="7"/>
      <c r="I2" s="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 spans="1:26" x14ac:dyDescent="0.25">
      <c r="A3" s="3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 spans="1:26" x14ac:dyDescent="0.25">
      <c r="A4" s="3"/>
      <c r="B4" s="9">
        <v>1</v>
      </c>
      <c r="C4" s="10" t="s">
        <v>13</v>
      </c>
      <c r="D4" s="9">
        <v>4</v>
      </c>
      <c r="E4" s="9">
        <v>772</v>
      </c>
      <c r="F4" s="25" t="s">
        <v>85</v>
      </c>
      <c r="G4" s="26" t="s">
        <v>86</v>
      </c>
      <c r="H4" s="27" t="s">
        <v>87</v>
      </c>
      <c r="I4" s="27" t="s">
        <v>88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 spans="1:26" x14ac:dyDescent="0.25">
      <c r="A5" s="3"/>
      <c r="B5" s="13"/>
      <c r="C5" s="13"/>
      <c r="D5" s="13"/>
      <c r="E5" s="13"/>
      <c r="F5" s="13"/>
      <c r="G5" s="26" t="s">
        <v>89</v>
      </c>
      <c r="H5" s="13"/>
      <c r="I5" s="1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 spans="1:26" x14ac:dyDescent="0.25">
      <c r="A6" s="3"/>
      <c r="B6" s="9">
        <v>2</v>
      </c>
      <c r="C6" s="10" t="s">
        <v>19</v>
      </c>
      <c r="D6" s="9">
        <v>13</v>
      </c>
      <c r="E6" s="9">
        <v>738</v>
      </c>
      <c r="F6" s="28" t="s">
        <v>90</v>
      </c>
      <c r="G6" s="29" t="s">
        <v>91</v>
      </c>
      <c r="H6" s="30" t="s">
        <v>92</v>
      </c>
      <c r="I6" s="30" t="s">
        <v>93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 spans="1:26" x14ac:dyDescent="0.25">
      <c r="A7" s="3"/>
      <c r="B7" s="13"/>
      <c r="C7" s="13"/>
      <c r="D7" s="13"/>
      <c r="E7" s="13"/>
      <c r="F7" s="13"/>
      <c r="G7" s="29" t="s">
        <v>94</v>
      </c>
      <c r="H7" s="13"/>
      <c r="I7" s="1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 spans="1:26" x14ac:dyDescent="0.25">
      <c r="A8" s="3"/>
      <c r="B8" s="9">
        <v>3</v>
      </c>
      <c r="C8" s="10" t="s">
        <v>25</v>
      </c>
      <c r="D8" s="9">
        <v>17</v>
      </c>
      <c r="E8" s="9">
        <v>867</v>
      </c>
      <c r="F8" s="28" t="s">
        <v>95</v>
      </c>
      <c r="G8" s="29" t="s">
        <v>96</v>
      </c>
      <c r="H8" s="30" t="s">
        <v>97</v>
      </c>
      <c r="I8" s="30" t="s">
        <v>98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 spans="1:26" x14ac:dyDescent="0.25">
      <c r="A9" s="3"/>
      <c r="B9" s="13"/>
      <c r="C9" s="13"/>
      <c r="D9" s="13"/>
      <c r="E9" s="13"/>
      <c r="F9" s="13"/>
      <c r="G9" s="29" t="s">
        <v>99</v>
      </c>
      <c r="H9" s="13"/>
      <c r="I9" s="1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 spans="1:26" x14ac:dyDescent="0.25">
      <c r="A10" s="3"/>
      <c r="B10" s="9">
        <v>4</v>
      </c>
      <c r="C10" s="10" t="s">
        <v>31</v>
      </c>
      <c r="D10" s="9">
        <v>24</v>
      </c>
      <c r="E10" s="9">
        <v>685</v>
      </c>
      <c r="F10" s="28" t="s">
        <v>100</v>
      </c>
      <c r="G10" s="29" t="s">
        <v>101</v>
      </c>
      <c r="H10" s="30" t="s">
        <v>102</v>
      </c>
      <c r="I10" s="30" t="s">
        <v>103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 spans="1:26" x14ac:dyDescent="0.25">
      <c r="A11" s="3"/>
      <c r="B11" s="13"/>
      <c r="C11" s="13"/>
      <c r="D11" s="13"/>
      <c r="E11" s="13"/>
      <c r="F11" s="13"/>
      <c r="G11" s="29" t="s">
        <v>104</v>
      </c>
      <c r="H11" s="13"/>
      <c r="I11" s="1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 spans="1:26" x14ac:dyDescent="0.25">
      <c r="A12" s="3"/>
      <c r="B12" s="9">
        <v>5</v>
      </c>
      <c r="C12" s="10" t="s">
        <v>37</v>
      </c>
      <c r="D12" s="9">
        <v>35</v>
      </c>
      <c r="E12" s="9">
        <v>687</v>
      </c>
      <c r="F12" s="31" t="s">
        <v>105</v>
      </c>
      <c r="G12" s="29" t="s">
        <v>106</v>
      </c>
      <c r="H12" s="30" t="s">
        <v>107</v>
      </c>
      <c r="I12" s="30" t="s">
        <v>108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 spans="1:26" x14ac:dyDescent="0.25">
      <c r="A13" s="3"/>
      <c r="B13" s="13"/>
      <c r="C13" s="13"/>
      <c r="D13" s="13"/>
      <c r="E13" s="13"/>
      <c r="F13" s="18"/>
      <c r="G13" s="29" t="s">
        <v>109</v>
      </c>
      <c r="H13" s="13"/>
      <c r="I13" s="1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 spans="1:26" x14ac:dyDescent="0.25">
      <c r="A14" s="3"/>
      <c r="B14" s="9">
        <v>6</v>
      </c>
      <c r="C14" s="10" t="s">
        <v>43</v>
      </c>
      <c r="D14" s="9">
        <v>37</v>
      </c>
      <c r="E14" s="9">
        <v>725</v>
      </c>
      <c r="F14" s="32" t="s">
        <v>110</v>
      </c>
      <c r="G14" s="33" t="s">
        <v>111</v>
      </c>
      <c r="H14" s="34" t="s">
        <v>112</v>
      </c>
      <c r="I14" s="34" t="s">
        <v>113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 spans="1:26" x14ac:dyDescent="0.25">
      <c r="A15" s="3"/>
      <c r="B15" s="13"/>
      <c r="C15" s="13"/>
      <c r="D15" s="13"/>
      <c r="E15" s="13"/>
      <c r="F15" s="13"/>
      <c r="G15" s="19" t="s">
        <v>36</v>
      </c>
      <c r="H15" s="13"/>
      <c r="I15" s="1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 spans="1:26" x14ac:dyDescent="0.25">
      <c r="A16" s="3"/>
      <c r="B16" s="9">
        <v>7</v>
      </c>
      <c r="C16" s="10" t="s">
        <v>49</v>
      </c>
      <c r="D16" s="9">
        <v>40</v>
      </c>
      <c r="E16" s="9">
        <v>681</v>
      </c>
      <c r="F16" s="32" t="s">
        <v>50</v>
      </c>
      <c r="G16" s="33" t="s">
        <v>54</v>
      </c>
      <c r="H16" s="34" t="s">
        <v>52</v>
      </c>
      <c r="I16" s="34" t="s">
        <v>53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 spans="1:26" x14ac:dyDescent="0.25">
      <c r="A17" s="3"/>
      <c r="B17" s="13"/>
      <c r="C17" s="13"/>
      <c r="D17" s="13"/>
      <c r="E17" s="13"/>
      <c r="F17" s="13"/>
      <c r="G17" s="33" t="s">
        <v>51</v>
      </c>
      <c r="H17" s="13"/>
      <c r="I17" s="1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 spans="1:26" x14ac:dyDescent="0.25">
      <c r="A18" s="3"/>
      <c r="B18" s="9">
        <v>8</v>
      </c>
      <c r="C18" s="10" t="s">
        <v>55</v>
      </c>
      <c r="D18" s="9">
        <v>46</v>
      </c>
      <c r="E18" s="9">
        <v>670</v>
      </c>
      <c r="F18" s="32" t="s">
        <v>56</v>
      </c>
      <c r="G18" s="33" t="s">
        <v>57</v>
      </c>
      <c r="H18" s="34" t="s">
        <v>58</v>
      </c>
      <c r="I18" s="34" t="s">
        <v>59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 spans="1:26" x14ac:dyDescent="0.25">
      <c r="A19" s="3"/>
      <c r="B19" s="13"/>
      <c r="C19" s="13"/>
      <c r="D19" s="13"/>
      <c r="E19" s="13"/>
      <c r="F19" s="13"/>
      <c r="G19" s="33" t="s">
        <v>60</v>
      </c>
      <c r="H19" s="13"/>
      <c r="I19" s="1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 spans="1:26" x14ac:dyDescent="0.25">
      <c r="A20" s="3"/>
      <c r="B20" s="9">
        <v>9</v>
      </c>
      <c r="C20" s="10" t="s">
        <v>61</v>
      </c>
      <c r="D20" s="9">
        <v>57</v>
      </c>
      <c r="E20" s="9">
        <v>558</v>
      </c>
      <c r="F20" s="32" t="s">
        <v>114</v>
      </c>
      <c r="G20" s="33" t="s">
        <v>115</v>
      </c>
      <c r="H20" s="34" t="s">
        <v>116</v>
      </c>
      <c r="I20" s="34" t="s">
        <v>117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 spans="1:26" x14ac:dyDescent="0.25">
      <c r="A21" s="3"/>
      <c r="B21" s="13"/>
      <c r="C21" s="13"/>
      <c r="D21" s="13"/>
      <c r="E21" s="13"/>
      <c r="F21" s="13"/>
      <c r="G21" s="19" t="s">
        <v>36</v>
      </c>
      <c r="H21" s="13"/>
      <c r="I21" s="1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 spans="1:26" x14ac:dyDescent="0.25">
      <c r="A22" s="3"/>
      <c r="B22" s="9">
        <v>10</v>
      </c>
      <c r="C22" s="10" t="s">
        <v>66</v>
      </c>
      <c r="D22" s="9">
        <v>64</v>
      </c>
      <c r="E22" s="9">
        <v>539</v>
      </c>
      <c r="F22" s="32" t="s">
        <v>118</v>
      </c>
      <c r="G22" s="33" t="s">
        <v>119</v>
      </c>
      <c r="H22" s="34" t="s">
        <v>120</v>
      </c>
      <c r="I22" s="34" t="s">
        <v>121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 spans="1:26" x14ac:dyDescent="0.25">
      <c r="A23" s="3"/>
      <c r="B23" s="13"/>
      <c r="C23" s="13"/>
      <c r="D23" s="13"/>
      <c r="E23" s="13"/>
      <c r="F23" s="13"/>
      <c r="G23" s="19" t="s">
        <v>36</v>
      </c>
      <c r="H23" s="13"/>
      <c r="I23" s="1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 spans="1:26" x14ac:dyDescent="0.25">
      <c r="A24" s="3"/>
      <c r="B24" s="9">
        <v>11</v>
      </c>
      <c r="C24" s="10" t="s">
        <v>72</v>
      </c>
      <c r="D24" s="9">
        <v>1</v>
      </c>
      <c r="E24" s="9">
        <v>737</v>
      </c>
      <c r="F24" s="32" t="s">
        <v>122</v>
      </c>
      <c r="G24" s="33" t="s">
        <v>123</v>
      </c>
      <c r="H24" s="34" t="s">
        <v>124</v>
      </c>
      <c r="I24" s="34" t="s">
        <v>125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 spans="1:26" x14ac:dyDescent="0.25">
      <c r="A25" s="3"/>
      <c r="B25" s="13"/>
      <c r="C25" s="13"/>
      <c r="D25" s="13"/>
      <c r="E25" s="13"/>
      <c r="F25" s="13"/>
      <c r="G25" s="19" t="s">
        <v>36</v>
      </c>
      <c r="H25" s="13"/>
      <c r="I25" s="1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 spans="1:26" x14ac:dyDescent="0.25">
      <c r="A26" s="3"/>
      <c r="B26" s="9">
        <v>12</v>
      </c>
      <c r="C26" s="10" t="s">
        <v>78</v>
      </c>
      <c r="D26" s="9">
        <v>13</v>
      </c>
      <c r="E26" s="9">
        <v>706</v>
      </c>
      <c r="F26" s="32" t="s">
        <v>126</v>
      </c>
      <c r="G26" s="33" t="s">
        <v>127</v>
      </c>
      <c r="H26" s="34" t="s">
        <v>128</v>
      </c>
      <c r="I26" s="34" t="s">
        <v>129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 spans="1:26" x14ac:dyDescent="0.25">
      <c r="A27" s="3"/>
      <c r="B27" s="13"/>
      <c r="C27" s="13"/>
      <c r="D27" s="13"/>
      <c r="E27" s="13"/>
      <c r="F27" s="13"/>
      <c r="G27" s="33" t="s">
        <v>130</v>
      </c>
      <c r="H27" s="13"/>
      <c r="I27" s="1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 spans="1:26" x14ac:dyDescent="0.25">
      <c r="A28" s="3"/>
      <c r="B28" s="3"/>
      <c r="C28" s="3"/>
      <c r="D28" s="3"/>
      <c r="E28" s="3"/>
      <c r="F28" s="4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 spans="1:26" x14ac:dyDescent="0.25">
      <c r="A29" s="3"/>
      <c r="B29" s="3"/>
      <c r="C29" s="3"/>
      <c r="D29" s="3"/>
      <c r="E29" s="3"/>
      <c r="F29" s="4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 spans="1:26" x14ac:dyDescent="0.25">
      <c r="A30" s="3"/>
      <c r="B30" s="3"/>
      <c r="C30" s="3"/>
      <c r="D30" s="3"/>
      <c r="E30" s="3"/>
      <c r="F30" s="4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 spans="1:26" x14ac:dyDescent="0.25">
      <c r="A31" s="3"/>
      <c r="B31" s="5" t="s">
        <v>83</v>
      </c>
      <c r="C31"/>
      <c r="D31"/>
      <c r="E31" s="5" t="s">
        <v>3</v>
      </c>
      <c r="F31" s="6" t="s">
        <v>84</v>
      </c>
      <c r="G31" s="4"/>
      <c r="H31" s="7"/>
      <c r="I31" s="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 spans="1:26" x14ac:dyDescent="0.25">
      <c r="A32" s="3"/>
      <c r="B32" s="21" t="s">
        <v>5</v>
      </c>
      <c r="C32" s="21" t="s">
        <v>6</v>
      </c>
      <c r="D32" s="21" t="s">
        <v>7</v>
      </c>
      <c r="E32" s="21" t="s">
        <v>8</v>
      </c>
      <c r="F32" s="22" t="s">
        <v>9</v>
      </c>
      <c r="G32" s="22" t="s">
        <v>10</v>
      </c>
      <c r="H32" s="21" t="s">
        <v>11</v>
      </c>
      <c r="I32" s="21" t="s">
        <v>12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 spans="1:26" x14ac:dyDescent="0.25">
      <c r="A33" s="3"/>
      <c r="B33" s="9">
        <v>1</v>
      </c>
      <c r="C33" s="10" t="s">
        <v>13</v>
      </c>
      <c r="D33" s="9"/>
      <c r="E33" s="9"/>
      <c r="F33" s="23"/>
      <c r="G33" s="24"/>
      <c r="H33" s="9"/>
      <c r="I33" s="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 spans="1:26" x14ac:dyDescent="0.25">
      <c r="A34" s="3"/>
      <c r="B34" s="13"/>
      <c r="C34" s="13"/>
      <c r="D34" s="13"/>
      <c r="E34" s="13"/>
      <c r="F34" s="13"/>
      <c r="G34" s="24"/>
      <c r="H34" s="13"/>
      <c r="I34" s="1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 spans="1:26" x14ac:dyDescent="0.25">
      <c r="A35" s="3"/>
      <c r="B35" s="9">
        <v>2</v>
      </c>
      <c r="C35" s="10" t="s">
        <v>19</v>
      </c>
      <c r="D35" s="9"/>
      <c r="E35" s="9"/>
      <c r="F35" s="23"/>
      <c r="G35" s="24"/>
      <c r="H35" s="9"/>
      <c r="I35" s="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 spans="1:26" x14ac:dyDescent="0.25">
      <c r="A36" s="3"/>
      <c r="B36" s="13"/>
      <c r="C36" s="13"/>
      <c r="D36" s="13"/>
      <c r="E36" s="13"/>
      <c r="F36" s="13"/>
      <c r="G36" s="24"/>
      <c r="H36" s="13"/>
      <c r="I36" s="1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 spans="1:26" x14ac:dyDescent="0.25">
      <c r="A37" s="3"/>
      <c r="B37" s="9">
        <v>3</v>
      </c>
      <c r="C37" s="10" t="s">
        <v>25</v>
      </c>
      <c r="D37" s="9"/>
      <c r="E37" s="9"/>
      <c r="F37" s="23"/>
      <c r="G37" s="24"/>
      <c r="H37" s="9"/>
      <c r="I37" s="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 spans="1:26" x14ac:dyDescent="0.25">
      <c r="A38" s="3"/>
      <c r="B38" s="13"/>
      <c r="C38" s="13"/>
      <c r="D38" s="13"/>
      <c r="E38" s="13"/>
      <c r="F38" s="13"/>
      <c r="G38" s="24"/>
      <c r="H38" s="13"/>
      <c r="I38" s="1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 spans="1:26" x14ac:dyDescent="0.25">
      <c r="A39" s="3"/>
      <c r="B39" s="9">
        <v>4</v>
      </c>
      <c r="C39" s="10" t="s">
        <v>31</v>
      </c>
      <c r="D39" s="9"/>
      <c r="E39" s="9"/>
      <c r="F39" s="23"/>
      <c r="G39" s="24"/>
      <c r="H39" s="9"/>
      <c r="I39" s="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 spans="1:26" x14ac:dyDescent="0.25">
      <c r="A40" s="3"/>
      <c r="B40" s="13"/>
      <c r="C40" s="13"/>
      <c r="D40" s="13"/>
      <c r="E40" s="13"/>
      <c r="F40" s="13"/>
      <c r="G40" s="24"/>
      <c r="H40" s="13"/>
      <c r="I40" s="1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 spans="1:26" x14ac:dyDescent="0.25">
      <c r="A41" s="3"/>
      <c r="B41" s="9">
        <v>5</v>
      </c>
      <c r="C41" s="10" t="s">
        <v>37</v>
      </c>
      <c r="D41" s="9"/>
      <c r="E41" s="9"/>
      <c r="F41" s="23"/>
      <c r="G41" s="24"/>
      <c r="H41" s="9"/>
      <c r="I41" s="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 spans="1:26" x14ac:dyDescent="0.25">
      <c r="A42" s="3"/>
      <c r="B42" s="13"/>
      <c r="C42" s="13"/>
      <c r="D42" s="13"/>
      <c r="E42" s="13"/>
      <c r="F42" s="13"/>
      <c r="G42" s="24"/>
      <c r="H42" s="13"/>
      <c r="I42" s="1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 spans="1:26" x14ac:dyDescent="0.25">
      <c r="A43" s="3"/>
      <c r="B43" s="9">
        <v>6</v>
      </c>
      <c r="C43" s="10" t="s">
        <v>43</v>
      </c>
      <c r="D43" s="9"/>
      <c r="E43" s="9"/>
      <c r="F43" s="23"/>
      <c r="G43" s="24"/>
      <c r="H43" s="9"/>
      <c r="I43" s="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 spans="1:26" x14ac:dyDescent="0.25">
      <c r="A44" s="3"/>
      <c r="B44" s="13"/>
      <c r="C44" s="13"/>
      <c r="D44" s="13"/>
      <c r="E44" s="13"/>
      <c r="F44" s="13"/>
      <c r="G44" s="24"/>
      <c r="H44" s="13"/>
      <c r="I44" s="1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 spans="1:26" x14ac:dyDescent="0.25">
      <c r="A45" s="3"/>
      <c r="B45" s="9">
        <v>7</v>
      </c>
      <c r="C45" s="10" t="s">
        <v>49</v>
      </c>
      <c r="D45" s="9"/>
      <c r="E45" s="9"/>
      <c r="F45" s="23"/>
      <c r="G45" s="24"/>
      <c r="H45" s="9"/>
      <c r="I45" s="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 spans="1:26" x14ac:dyDescent="0.25">
      <c r="A46" s="3"/>
      <c r="B46" s="13"/>
      <c r="C46" s="13"/>
      <c r="D46" s="13"/>
      <c r="E46" s="13"/>
      <c r="F46" s="13"/>
      <c r="G46" s="24"/>
      <c r="H46" s="13"/>
      <c r="I46" s="1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 spans="1:26" x14ac:dyDescent="0.25">
      <c r="A47" s="3"/>
      <c r="B47" s="9">
        <v>8</v>
      </c>
      <c r="C47" s="10" t="s">
        <v>55</v>
      </c>
      <c r="D47" s="9"/>
      <c r="E47" s="9"/>
      <c r="F47" s="23"/>
      <c r="G47" s="24"/>
      <c r="H47" s="9"/>
      <c r="I47" s="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 spans="1:26" x14ac:dyDescent="0.25">
      <c r="A48" s="3"/>
      <c r="B48" s="13"/>
      <c r="C48" s="13"/>
      <c r="D48" s="13"/>
      <c r="E48" s="13"/>
      <c r="F48" s="13"/>
      <c r="G48" s="24"/>
      <c r="H48" s="13"/>
      <c r="I48" s="1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 spans="1:26" x14ac:dyDescent="0.25">
      <c r="A49" s="3"/>
      <c r="B49" s="9">
        <v>9</v>
      </c>
      <c r="C49" s="10" t="s">
        <v>61</v>
      </c>
      <c r="D49" s="9"/>
      <c r="E49" s="9"/>
      <c r="F49" s="23"/>
      <c r="G49" s="24"/>
      <c r="H49" s="9"/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 spans="1:26" x14ac:dyDescent="0.25">
      <c r="A50" s="3"/>
      <c r="B50" s="13"/>
      <c r="C50" s="13"/>
      <c r="D50" s="13"/>
      <c r="E50" s="13"/>
      <c r="F50" s="13"/>
      <c r="G50" s="24"/>
      <c r="H50" s="13"/>
      <c r="I50" s="1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 spans="1:26" x14ac:dyDescent="0.25">
      <c r="A51" s="3"/>
      <c r="B51" s="9">
        <v>10</v>
      </c>
      <c r="C51" s="10" t="s">
        <v>66</v>
      </c>
      <c r="D51" s="9"/>
      <c r="E51" s="9"/>
      <c r="F51" s="23"/>
      <c r="G51" s="24"/>
      <c r="H51" s="9"/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 spans="1:26" x14ac:dyDescent="0.25">
      <c r="A52" s="3"/>
      <c r="B52" s="13"/>
      <c r="C52" s="13"/>
      <c r="D52" s="13"/>
      <c r="E52" s="13"/>
      <c r="F52" s="13"/>
      <c r="G52" s="24"/>
      <c r="H52" s="13"/>
      <c r="I52" s="1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 spans="1:26" x14ac:dyDescent="0.25">
      <c r="A53" s="3"/>
      <c r="B53" s="9">
        <v>11</v>
      </c>
      <c r="C53" s="10" t="s">
        <v>72</v>
      </c>
      <c r="D53" s="9"/>
      <c r="E53" s="9"/>
      <c r="F53" s="23"/>
      <c r="G53" s="24"/>
      <c r="H53" s="9"/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 spans="1:26" x14ac:dyDescent="0.25">
      <c r="A54" s="3"/>
      <c r="B54" s="13"/>
      <c r="C54" s="13"/>
      <c r="D54" s="13"/>
      <c r="E54" s="13"/>
      <c r="F54" s="13"/>
      <c r="G54" s="24"/>
      <c r="H54" s="13"/>
      <c r="I54" s="1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 spans="1:26" x14ac:dyDescent="0.25">
      <c r="A55" s="3"/>
      <c r="B55" s="9">
        <v>12</v>
      </c>
      <c r="C55" s="10" t="s">
        <v>78</v>
      </c>
      <c r="D55" s="9"/>
      <c r="E55" s="9"/>
      <c r="F55" s="23"/>
      <c r="G55" s="24"/>
      <c r="H55" s="9"/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 spans="1:26" x14ac:dyDescent="0.25">
      <c r="A56" s="3"/>
      <c r="B56" s="13"/>
      <c r="C56" s="13"/>
      <c r="D56" s="13"/>
      <c r="E56" s="13"/>
      <c r="F56" s="13"/>
      <c r="G56" s="24"/>
      <c r="H56" s="13"/>
      <c r="I56" s="1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 spans="1:26" x14ac:dyDescent="0.25">
      <c r="A57" s="3"/>
      <c r="B57" s="3"/>
      <c r="C57" s="3"/>
      <c r="D57" s="3"/>
      <c r="E57" s="3"/>
      <c r="F57" s="4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 spans="1:26" x14ac:dyDescent="0.25">
      <c r="A58" s="3"/>
      <c r="B58" s="3"/>
      <c r="C58" s="3"/>
      <c r="D58" s="3"/>
      <c r="E58" s="3"/>
      <c r="F58" s="4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 spans="1:26" x14ac:dyDescent="0.25">
      <c r="A59" s="3"/>
      <c r="B59" s="3"/>
      <c r="C59" s="3"/>
      <c r="D59" s="3"/>
      <c r="E59" s="3"/>
      <c r="F59" s="4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 spans="1:26" x14ac:dyDescent="0.25">
      <c r="A60" s="3"/>
      <c r="B60" s="3"/>
      <c r="C60" s="3"/>
      <c r="D60" s="3"/>
      <c r="E60" s="3"/>
      <c r="F60" s="4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 spans="1:26" x14ac:dyDescent="0.25">
      <c r="A61" s="3"/>
      <c r="B61" s="3"/>
      <c r="C61" s="3"/>
      <c r="D61" s="3"/>
      <c r="E61" s="3"/>
      <c r="F61" s="4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 spans="1:26" x14ac:dyDescent="0.25">
      <c r="A62" s="3"/>
      <c r="B62" s="3"/>
      <c r="C62" s="3"/>
      <c r="D62" s="3"/>
      <c r="E62" s="3"/>
      <c r="F62" s="4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 spans="1:26" x14ac:dyDescent="0.25">
      <c r="A63" s="3"/>
      <c r="B63" s="3"/>
      <c r="C63" s="3"/>
      <c r="D63" s="3"/>
      <c r="E63" s="3"/>
      <c r="F63" s="4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 spans="1:26" x14ac:dyDescent="0.25">
      <c r="A64" s="3"/>
      <c r="B64" s="3"/>
      <c r="C64" s="3"/>
      <c r="D64" s="3"/>
      <c r="E64" s="3"/>
      <c r="F64" s="4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 spans="1:26" x14ac:dyDescent="0.25">
      <c r="A65" s="3"/>
      <c r="B65" s="3"/>
      <c r="C65" s="3"/>
      <c r="D65" s="3"/>
      <c r="E65" s="3"/>
      <c r="F65" s="4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 spans="1:26" x14ac:dyDescent="0.25">
      <c r="A66" s="3"/>
      <c r="B66" s="3"/>
      <c r="C66" s="3"/>
      <c r="D66" s="3"/>
      <c r="E66" s="3"/>
      <c r="F66" s="4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 spans="1:26" x14ac:dyDescent="0.25">
      <c r="A67" s="3"/>
      <c r="B67" s="3"/>
      <c r="C67" s="3"/>
      <c r="D67" s="3"/>
      <c r="E67" s="3"/>
      <c r="F67" s="4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 spans="1:26" x14ac:dyDescent="0.25">
      <c r="A68" s="3"/>
      <c r="B68" s="3"/>
      <c r="C68" s="3"/>
      <c r="D68" s="3"/>
      <c r="E68" s="3"/>
      <c r="F68" s="4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 spans="1:26" x14ac:dyDescent="0.25">
      <c r="A69" s="3"/>
      <c r="B69" s="3"/>
      <c r="C69" s="3"/>
      <c r="D69" s="3"/>
      <c r="E69" s="3"/>
      <c r="F69" s="4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 spans="1:26" x14ac:dyDescent="0.25">
      <c r="A70" s="3"/>
      <c r="B70" s="3"/>
      <c r="C70" s="3"/>
      <c r="D70" s="3"/>
      <c r="E70" s="3"/>
      <c r="F70" s="4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 spans="1:26" x14ac:dyDescent="0.25">
      <c r="A71" s="3"/>
      <c r="B71" s="3"/>
      <c r="C71" s="3"/>
      <c r="D71" s="3"/>
      <c r="E71" s="3"/>
      <c r="F71" s="4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 spans="1:26" x14ac:dyDescent="0.25">
      <c r="A72" s="3"/>
      <c r="B72" s="3"/>
      <c r="C72" s="3"/>
      <c r="D72" s="3"/>
      <c r="E72" s="3"/>
      <c r="F72" s="4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 spans="1:26" x14ac:dyDescent="0.25">
      <c r="A73" s="3"/>
      <c r="B73" s="3"/>
      <c r="C73" s="3"/>
      <c r="D73" s="3"/>
      <c r="E73" s="3"/>
      <c r="F73" s="4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 spans="1:26" x14ac:dyDescent="0.25">
      <c r="A74" s="3"/>
      <c r="B74" s="3"/>
      <c r="C74" s="3"/>
      <c r="D74" s="3"/>
      <c r="E74" s="3"/>
      <c r="F74" s="4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 spans="1:26" x14ac:dyDescent="0.25">
      <c r="A75" s="3"/>
      <c r="B75" s="3"/>
      <c r="C75" s="3"/>
      <c r="D75" s="3"/>
      <c r="E75" s="3"/>
      <c r="F75" s="4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 spans="1:26" x14ac:dyDescent="0.25">
      <c r="A76" s="3"/>
      <c r="B76" s="3"/>
      <c r="C76" s="3"/>
      <c r="D76" s="3"/>
      <c r="E76" s="3"/>
      <c r="F76" s="4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 spans="1:26" x14ac:dyDescent="0.25">
      <c r="A77" s="3"/>
      <c r="B77" s="3"/>
      <c r="C77" s="3"/>
      <c r="D77" s="3"/>
      <c r="E77" s="3"/>
      <c r="F77" s="4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 spans="1:26" x14ac:dyDescent="0.25">
      <c r="A78" s="3"/>
      <c r="B78" s="3"/>
      <c r="C78" s="3"/>
      <c r="D78" s="3"/>
      <c r="E78" s="3"/>
      <c r="F78" s="4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 spans="1:26" x14ac:dyDescent="0.25">
      <c r="A79" s="3"/>
      <c r="B79" s="3"/>
      <c r="C79" s="3"/>
      <c r="D79" s="3"/>
      <c r="E79" s="3"/>
      <c r="F79" s="4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 spans="1:26" x14ac:dyDescent="0.25">
      <c r="A80" s="3"/>
      <c r="B80" s="3"/>
      <c r="C80" s="3"/>
      <c r="D80" s="3"/>
      <c r="E80" s="3"/>
      <c r="F80" s="4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 spans="1:26" x14ac:dyDescent="0.25">
      <c r="A81" s="3"/>
      <c r="B81" s="3"/>
      <c r="C81" s="3"/>
      <c r="D81" s="3"/>
      <c r="E81" s="3"/>
      <c r="F81" s="4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 spans="1:26" x14ac:dyDescent="0.25">
      <c r="A82" s="3"/>
      <c r="B82" s="3"/>
      <c r="C82" s="3"/>
      <c r="D82" s="3"/>
      <c r="E82" s="3"/>
      <c r="F82" s="4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 spans="1:26" x14ac:dyDescent="0.25">
      <c r="A83" s="3"/>
      <c r="B83" s="3"/>
      <c r="C83" s="3"/>
      <c r="D83" s="3"/>
      <c r="E83" s="3"/>
      <c r="F83" s="4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 spans="1:26" x14ac:dyDescent="0.25">
      <c r="A84" s="3"/>
      <c r="B84" s="3"/>
      <c r="C84" s="3"/>
      <c r="D84" s="3"/>
      <c r="E84" s="3"/>
      <c r="F84" s="4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 spans="1:26" x14ac:dyDescent="0.25">
      <c r="A85" s="3"/>
      <c r="B85" s="3"/>
      <c r="C85" s="3"/>
      <c r="D85" s="3"/>
      <c r="E85" s="3"/>
      <c r="F85" s="4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 spans="1:26" x14ac:dyDescent="0.25">
      <c r="A86" s="3"/>
      <c r="B86" s="3"/>
      <c r="C86" s="3"/>
      <c r="D86" s="3"/>
      <c r="E86" s="3"/>
      <c r="F86" s="4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 spans="1:26" x14ac:dyDescent="0.25">
      <c r="A87" s="3"/>
      <c r="B87" s="3"/>
      <c r="C87" s="3"/>
      <c r="D87" s="3"/>
      <c r="E87" s="3"/>
      <c r="F87" s="4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 spans="1:26" x14ac:dyDescent="0.25">
      <c r="A88" s="3"/>
      <c r="B88" s="3"/>
      <c r="C88" s="3"/>
      <c r="D88" s="3"/>
      <c r="E88" s="3"/>
      <c r="F88" s="4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 spans="1:26" x14ac:dyDescent="0.25">
      <c r="A89" s="3"/>
      <c r="B89" s="3"/>
      <c r="C89" s="3"/>
      <c r="D89" s="3"/>
      <c r="E89" s="3"/>
      <c r="F89" s="4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 spans="1:26" x14ac:dyDescent="0.25">
      <c r="A90" s="3"/>
      <c r="B90" s="3"/>
      <c r="C90" s="3"/>
      <c r="D90" s="3"/>
      <c r="E90" s="3"/>
      <c r="F90" s="4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 spans="1:26" x14ac:dyDescent="0.25">
      <c r="A91" s="3"/>
      <c r="B91" s="3"/>
      <c r="C91" s="3"/>
      <c r="D91" s="3"/>
      <c r="E91" s="3"/>
      <c r="F91" s="4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 spans="1:26" x14ac:dyDescent="0.25">
      <c r="A92" s="3"/>
      <c r="B92" s="3"/>
      <c r="C92" s="3"/>
      <c r="D92" s="3"/>
      <c r="E92" s="3"/>
      <c r="F92" s="4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 spans="1:26" x14ac:dyDescent="0.25">
      <c r="A93" s="3"/>
      <c r="B93" s="3"/>
      <c r="C93" s="3"/>
      <c r="D93" s="3"/>
      <c r="E93" s="3"/>
      <c r="F93" s="4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 spans="1:26" x14ac:dyDescent="0.25">
      <c r="A94" s="3"/>
      <c r="B94" s="3"/>
      <c r="C94" s="3"/>
      <c r="D94" s="3"/>
      <c r="E94" s="3"/>
      <c r="F94" s="4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 spans="1:26" x14ac:dyDescent="0.25">
      <c r="A95" s="3"/>
      <c r="B95" s="3"/>
      <c r="C95" s="3"/>
      <c r="D95" s="3"/>
      <c r="E95" s="3"/>
      <c r="F95" s="4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 spans="1:26" x14ac:dyDescent="0.25">
      <c r="A96" s="3"/>
      <c r="B96" s="3"/>
      <c r="C96" s="3"/>
      <c r="D96" s="3"/>
      <c r="E96" s="3"/>
      <c r="F96" s="4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 spans="1:26" x14ac:dyDescent="0.25">
      <c r="A97" s="3"/>
      <c r="B97" s="3"/>
      <c r="C97" s="3"/>
      <c r="D97" s="3"/>
      <c r="E97" s="3"/>
      <c r="F97" s="4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 spans="1:26" x14ac:dyDescent="0.25">
      <c r="A98" s="3"/>
      <c r="B98" s="3"/>
      <c r="C98" s="3"/>
      <c r="D98" s="3"/>
      <c r="E98" s="3"/>
      <c r="F98" s="4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 spans="1:26" x14ac:dyDescent="0.25">
      <c r="A99" s="3"/>
      <c r="B99" s="3"/>
      <c r="C99" s="3"/>
      <c r="D99" s="3"/>
      <c r="E99" s="3"/>
      <c r="F99" s="4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 spans="1:26" x14ac:dyDescent="0.25">
      <c r="A100" s="3"/>
      <c r="B100" s="3"/>
      <c r="C100" s="3"/>
      <c r="D100" s="3"/>
      <c r="E100" s="3"/>
      <c r="F100" s="4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 spans="1:26" x14ac:dyDescent="0.25">
      <c r="A101" s="3"/>
      <c r="B101" s="3"/>
      <c r="C101" s="3"/>
      <c r="D101" s="3"/>
      <c r="E101" s="3"/>
      <c r="F101" s="4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 spans="1:26" x14ac:dyDescent="0.25">
      <c r="A102" s="3"/>
      <c r="B102" s="3"/>
      <c r="C102" s="3"/>
      <c r="D102" s="3"/>
      <c r="E102" s="3"/>
      <c r="F102" s="4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 spans="1:26" x14ac:dyDescent="0.25">
      <c r="A103" s="3"/>
      <c r="B103" s="3"/>
      <c r="C103" s="3"/>
      <c r="D103" s="3"/>
      <c r="E103" s="3"/>
      <c r="F103" s="4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 spans="1:26" x14ac:dyDescent="0.25">
      <c r="A104" s="3"/>
      <c r="B104" s="3"/>
      <c r="C104" s="3"/>
      <c r="D104" s="3"/>
      <c r="E104" s="3"/>
      <c r="F104" s="4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 spans="1:26" x14ac:dyDescent="0.25">
      <c r="A105" s="3"/>
      <c r="B105" s="3"/>
      <c r="C105" s="3"/>
      <c r="D105" s="3"/>
      <c r="E105" s="3"/>
      <c r="F105" s="4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 spans="1:26" x14ac:dyDescent="0.25">
      <c r="A106" s="3"/>
      <c r="B106" s="3"/>
      <c r="C106" s="3"/>
      <c r="D106" s="3"/>
      <c r="E106" s="3"/>
      <c r="F106" s="4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 spans="1:26" x14ac:dyDescent="0.25">
      <c r="A107" s="3"/>
      <c r="B107" s="3"/>
      <c r="C107" s="3"/>
      <c r="D107" s="3"/>
      <c r="E107" s="3"/>
      <c r="F107" s="4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 spans="1:26" x14ac:dyDescent="0.25">
      <c r="A108" s="3"/>
      <c r="B108" s="3"/>
      <c r="C108" s="3"/>
      <c r="D108" s="3"/>
      <c r="E108" s="3"/>
      <c r="F108" s="4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 spans="1:26" x14ac:dyDescent="0.25">
      <c r="A109" s="3"/>
      <c r="B109" s="3"/>
      <c r="C109" s="3"/>
      <c r="D109" s="3"/>
      <c r="E109" s="3"/>
      <c r="F109" s="4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 spans="1:26" x14ac:dyDescent="0.25">
      <c r="A110" s="3"/>
      <c r="B110" s="3"/>
      <c r="C110" s="3"/>
      <c r="D110" s="3"/>
      <c r="E110" s="3"/>
      <c r="F110" s="4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 spans="1:26" x14ac:dyDescent="0.25">
      <c r="A111" s="3"/>
      <c r="B111" s="3"/>
      <c r="C111" s="3"/>
      <c r="D111" s="3"/>
      <c r="E111" s="3"/>
      <c r="F111" s="4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 spans="1:26" x14ac:dyDescent="0.25">
      <c r="A112" s="3"/>
      <c r="B112" s="3"/>
      <c r="C112" s="3"/>
      <c r="D112" s="3"/>
      <c r="E112" s="3"/>
      <c r="F112" s="4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 spans="1:26" x14ac:dyDescent="0.25">
      <c r="A113" s="3"/>
      <c r="B113" s="3"/>
      <c r="C113" s="3"/>
      <c r="D113" s="3"/>
      <c r="E113" s="3"/>
      <c r="F113" s="4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 spans="1:26" x14ac:dyDescent="0.25">
      <c r="A114" s="3"/>
      <c r="B114" s="3"/>
      <c r="C114" s="3"/>
      <c r="D114" s="3"/>
      <c r="E114" s="3"/>
      <c r="F114" s="4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 spans="1:26" x14ac:dyDescent="0.25">
      <c r="A115" s="3"/>
      <c r="B115" s="3"/>
      <c r="C115" s="3"/>
      <c r="D115" s="3"/>
      <c r="E115" s="3"/>
      <c r="F115" s="4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 spans="1:26" x14ac:dyDescent="0.25">
      <c r="A116" s="3"/>
      <c r="B116" s="3"/>
      <c r="C116" s="3"/>
      <c r="D116" s="3"/>
      <c r="E116" s="3"/>
      <c r="F116" s="4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 spans="1:26" x14ac:dyDescent="0.25">
      <c r="A117" s="3"/>
      <c r="B117" s="3"/>
      <c r="C117" s="3"/>
      <c r="D117" s="3"/>
      <c r="E117" s="3"/>
      <c r="F117" s="4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 spans="1:26" x14ac:dyDescent="0.25">
      <c r="A118" s="3"/>
      <c r="B118" s="3"/>
      <c r="C118" s="3"/>
      <c r="D118" s="3"/>
      <c r="E118" s="3"/>
      <c r="F118" s="4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 spans="1:26" x14ac:dyDescent="0.25">
      <c r="A119" s="3"/>
      <c r="B119" s="3"/>
      <c r="C119" s="3"/>
      <c r="D119" s="3"/>
      <c r="E119" s="3"/>
      <c r="F119" s="4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 spans="1:26" x14ac:dyDescent="0.25">
      <c r="A120" s="3"/>
      <c r="B120" s="3"/>
      <c r="C120" s="3"/>
      <c r="D120" s="3"/>
      <c r="E120" s="3"/>
      <c r="F120" s="4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 spans="1:26" x14ac:dyDescent="0.25">
      <c r="A121" s="3"/>
      <c r="B121" s="3"/>
      <c r="C121" s="3"/>
      <c r="D121" s="3"/>
      <c r="E121" s="3"/>
      <c r="F121" s="4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 spans="1:26" x14ac:dyDescent="0.25">
      <c r="A122" s="3"/>
      <c r="B122" s="3"/>
      <c r="C122" s="3"/>
      <c r="D122" s="3"/>
      <c r="E122" s="3"/>
      <c r="F122" s="4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 spans="1:26" x14ac:dyDescent="0.25">
      <c r="A123" s="3"/>
      <c r="B123" s="3"/>
      <c r="C123" s="3"/>
      <c r="D123" s="3"/>
      <c r="E123" s="3"/>
      <c r="F123" s="4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 spans="1:26" x14ac:dyDescent="0.25">
      <c r="A124" s="3"/>
      <c r="B124" s="3"/>
      <c r="C124" s="3"/>
      <c r="D124" s="3"/>
      <c r="E124" s="3"/>
      <c r="F124" s="4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 spans="1:26" x14ac:dyDescent="0.25">
      <c r="A125" s="3"/>
      <c r="B125" s="3"/>
      <c r="C125" s="3"/>
      <c r="D125" s="3"/>
      <c r="E125" s="3"/>
      <c r="F125" s="4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 spans="1:26" x14ac:dyDescent="0.25">
      <c r="A126" s="3"/>
      <c r="B126" s="3"/>
      <c r="C126" s="3"/>
      <c r="D126" s="3"/>
      <c r="E126" s="3"/>
      <c r="F126" s="4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 spans="1:26" x14ac:dyDescent="0.25">
      <c r="A127" s="3"/>
      <c r="B127" s="3"/>
      <c r="C127" s="3"/>
      <c r="D127" s="3"/>
      <c r="E127" s="3"/>
      <c r="F127" s="4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 spans="1:26" x14ac:dyDescent="0.25">
      <c r="A128" s="3"/>
      <c r="B128" s="3"/>
      <c r="C128" s="3"/>
      <c r="D128" s="3"/>
      <c r="E128" s="3"/>
      <c r="F128" s="4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 spans="1:26" x14ac:dyDescent="0.25">
      <c r="A129" s="3"/>
      <c r="B129" s="3"/>
      <c r="C129" s="3"/>
      <c r="D129" s="3"/>
      <c r="E129" s="3"/>
      <c r="F129" s="4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 spans="1:26" x14ac:dyDescent="0.25">
      <c r="A130" s="3"/>
      <c r="B130" s="3"/>
      <c r="C130" s="3"/>
      <c r="D130" s="3"/>
      <c r="E130" s="3"/>
      <c r="F130" s="4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 spans="1:26" x14ac:dyDescent="0.25">
      <c r="A131" s="3"/>
      <c r="B131" s="3"/>
      <c r="C131" s="3"/>
      <c r="D131" s="3"/>
      <c r="E131" s="3"/>
      <c r="F131" s="4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 spans="1:26" x14ac:dyDescent="0.25">
      <c r="A132" s="3"/>
      <c r="B132" s="3"/>
      <c r="C132" s="3"/>
      <c r="D132" s="3"/>
      <c r="E132" s="3"/>
      <c r="F132" s="4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 spans="1:26" x14ac:dyDescent="0.25">
      <c r="A133" s="3"/>
      <c r="B133" s="3"/>
      <c r="C133" s="3"/>
      <c r="D133" s="3"/>
      <c r="E133" s="3"/>
      <c r="F133" s="4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 spans="1:26" x14ac:dyDescent="0.25">
      <c r="A134" s="3"/>
      <c r="B134" s="3"/>
      <c r="C134" s="3"/>
      <c r="D134" s="3"/>
      <c r="E134" s="3"/>
      <c r="F134" s="4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 spans="1:26" x14ac:dyDescent="0.25">
      <c r="A135" s="3"/>
      <c r="B135" s="3"/>
      <c r="C135" s="3"/>
      <c r="D135" s="3"/>
      <c r="E135" s="3"/>
      <c r="F135" s="4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 spans="1:26" x14ac:dyDescent="0.25">
      <c r="A136" s="3"/>
      <c r="B136" s="3"/>
      <c r="C136" s="3"/>
      <c r="D136" s="3"/>
      <c r="E136" s="3"/>
      <c r="F136" s="4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 spans="1:26" x14ac:dyDescent="0.25">
      <c r="A137" s="3"/>
      <c r="B137" s="3"/>
      <c r="C137" s="3"/>
      <c r="D137" s="3"/>
      <c r="E137" s="3"/>
      <c r="F137" s="4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 spans="1:26" x14ac:dyDescent="0.25">
      <c r="A138" s="3"/>
      <c r="B138" s="3"/>
      <c r="C138" s="3"/>
      <c r="D138" s="3"/>
      <c r="E138" s="3"/>
      <c r="F138" s="4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 spans="1:26" x14ac:dyDescent="0.25">
      <c r="A139" s="3"/>
      <c r="B139" s="3"/>
      <c r="C139" s="3"/>
      <c r="D139" s="3"/>
      <c r="E139" s="3"/>
      <c r="F139" s="4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 spans="1:26" x14ac:dyDescent="0.25">
      <c r="A140" s="3"/>
      <c r="B140" s="3"/>
      <c r="C140" s="3"/>
      <c r="D140" s="3"/>
      <c r="E140" s="3"/>
      <c r="F140" s="4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 spans="1:26" x14ac:dyDescent="0.25">
      <c r="A141" s="3"/>
      <c r="B141" s="3"/>
      <c r="C141" s="3"/>
      <c r="D141" s="3"/>
      <c r="E141" s="3"/>
      <c r="F141" s="4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 spans="1:26" x14ac:dyDescent="0.25">
      <c r="A142" s="3"/>
      <c r="B142" s="3"/>
      <c r="C142" s="3"/>
      <c r="D142" s="3"/>
      <c r="E142" s="3"/>
      <c r="F142" s="4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 spans="1:26" x14ac:dyDescent="0.25">
      <c r="A143" s="3"/>
      <c r="B143" s="3"/>
      <c r="C143" s="3"/>
      <c r="D143" s="3"/>
      <c r="E143" s="3"/>
      <c r="F143" s="4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 spans="1:26" x14ac:dyDescent="0.25">
      <c r="A144" s="3"/>
      <c r="B144" s="3"/>
      <c r="C144" s="3"/>
      <c r="D144" s="3"/>
      <c r="E144" s="3"/>
      <c r="F144" s="4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 spans="1:26" x14ac:dyDescent="0.25">
      <c r="A145" s="3"/>
      <c r="B145" s="3"/>
      <c r="C145" s="3"/>
      <c r="D145" s="3"/>
      <c r="E145" s="3"/>
      <c r="F145" s="4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 spans="1:26" x14ac:dyDescent="0.25">
      <c r="A146" s="3"/>
      <c r="B146" s="3"/>
      <c r="C146" s="3"/>
      <c r="D146" s="3"/>
      <c r="E146" s="3"/>
      <c r="F146" s="4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 spans="1:26" x14ac:dyDescent="0.25">
      <c r="A147" s="3"/>
      <c r="B147" s="3"/>
      <c r="C147" s="3"/>
      <c r="D147" s="3"/>
      <c r="E147" s="3"/>
      <c r="F147" s="4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 spans="1:26" x14ac:dyDescent="0.25">
      <c r="A148" s="3"/>
      <c r="B148" s="3"/>
      <c r="C148" s="3"/>
      <c r="D148" s="3"/>
      <c r="E148" s="3"/>
      <c r="F148" s="4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 spans="1:26" x14ac:dyDescent="0.25">
      <c r="A149" s="3"/>
      <c r="B149" s="3"/>
      <c r="C149" s="3"/>
      <c r="D149" s="3"/>
      <c r="E149" s="3"/>
      <c r="F149" s="4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 spans="1:26" x14ac:dyDescent="0.25">
      <c r="A150" s="3"/>
      <c r="B150" s="3"/>
      <c r="C150" s="3"/>
      <c r="D150" s="3"/>
      <c r="E150" s="3"/>
      <c r="F150" s="4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 spans="1:26" x14ac:dyDescent="0.25">
      <c r="A151" s="3"/>
      <c r="B151" s="3"/>
      <c r="C151" s="3"/>
      <c r="D151" s="3"/>
      <c r="E151" s="3"/>
      <c r="F151" s="4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 spans="1:26" x14ac:dyDescent="0.25">
      <c r="A152" s="3"/>
      <c r="B152" s="3"/>
      <c r="C152" s="3"/>
      <c r="D152" s="3"/>
      <c r="E152" s="3"/>
      <c r="F152" s="4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 spans="1:26" x14ac:dyDescent="0.25">
      <c r="A153" s="3"/>
      <c r="B153" s="3"/>
      <c r="C153" s="3"/>
      <c r="D153" s="3"/>
      <c r="E153" s="3"/>
      <c r="F153" s="4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 spans="1:26" x14ac:dyDescent="0.25">
      <c r="A154" s="3"/>
      <c r="B154" s="3"/>
      <c r="C154" s="3"/>
      <c r="D154" s="3"/>
      <c r="E154" s="3"/>
      <c r="F154" s="4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 spans="1:26" x14ac:dyDescent="0.25">
      <c r="A155" s="3"/>
      <c r="B155" s="3"/>
      <c r="C155" s="3"/>
      <c r="D155" s="3"/>
      <c r="E155" s="3"/>
      <c r="F155" s="4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 spans="1:26" x14ac:dyDescent="0.25">
      <c r="A156" s="3"/>
      <c r="B156" s="3"/>
      <c r="C156" s="3"/>
      <c r="D156" s="3"/>
      <c r="E156" s="3"/>
      <c r="F156" s="4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 spans="1:26" x14ac:dyDescent="0.25">
      <c r="A157" s="3"/>
      <c r="B157" s="3"/>
      <c r="C157" s="3"/>
      <c r="D157" s="3"/>
      <c r="E157" s="3"/>
      <c r="F157" s="4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 spans="1:26" x14ac:dyDescent="0.25">
      <c r="A158" s="3"/>
      <c r="B158" s="3"/>
      <c r="C158" s="3"/>
      <c r="D158" s="3"/>
      <c r="E158" s="3"/>
      <c r="F158" s="4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 spans="1:26" x14ac:dyDescent="0.25">
      <c r="A159" s="3"/>
      <c r="B159" s="3"/>
      <c r="C159" s="3"/>
      <c r="D159" s="3"/>
      <c r="E159" s="3"/>
      <c r="F159" s="4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 spans="1:26" x14ac:dyDescent="0.25">
      <c r="A160" s="3"/>
      <c r="B160" s="3"/>
      <c r="C160" s="3"/>
      <c r="D160" s="3"/>
      <c r="E160" s="3"/>
      <c r="F160" s="4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 spans="1:26" x14ac:dyDescent="0.25">
      <c r="A161" s="3"/>
      <c r="B161" s="3"/>
      <c r="C161" s="3"/>
      <c r="D161" s="3"/>
      <c r="E161" s="3"/>
      <c r="F161" s="4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 spans="1:26" x14ac:dyDescent="0.25">
      <c r="A162" s="3"/>
      <c r="B162" s="3"/>
      <c r="C162" s="3"/>
      <c r="D162" s="3"/>
      <c r="E162" s="3"/>
      <c r="F162" s="4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 spans="1:26" x14ac:dyDescent="0.25">
      <c r="A163" s="3"/>
      <c r="B163" s="3"/>
      <c r="C163" s="3"/>
      <c r="D163" s="3"/>
      <c r="E163" s="3"/>
      <c r="F163" s="4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 spans="1:26" x14ac:dyDescent="0.25">
      <c r="A164" s="3"/>
      <c r="B164" s="3"/>
      <c r="C164" s="3"/>
      <c r="D164" s="3"/>
      <c r="E164" s="3"/>
      <c r="F164" s="4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 spans="1:26" x14ac:dyDescent="0.25">
      <c r="A165" s="3"/>
      <c r="B165" s="3"/>
      <c r="C165" s="3"/>
      <c r="D165" s="3"/>
      <c r="E165" s="3"/>
      <c r="F165" s="4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 spans="1:26" x14ac:dyDescent="0.25">
      <c r="A166" s="3"/>
      <c r="B166" s="3"/>
      <c r="C166" s="3"/>
      <c r="D166" s="3"/>
      <c r="E166" s="3"/>
      <c r="F166" s="4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 spans="1:26" x14ac:dyDescent="0.25">
      <c r="A167" s="3"/>
      <c r="B167" s="3"/>
      <c r="C167" s="3"/>
      <c r="D167" s="3"/>
      <c r="E167" s="3"/>
      <c r="F167" s="4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 spans="1:26" x14ac:dyDescent="0.25">
      <c r="A168" s="3"/>
      <c r="B168" s="3"/>
      <c r="C168" s="3"/>
      <c r="D168" s="3"/>
      <c r="E168" s="3"/>
      <c r="F168" s="4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 spans="1:26" x14ac:dyDescent="0.25">
      <c r="A169" s="3"/>
      <c r="B169" s="3"/>
      <c r="C169" s="3"/>
      <c r="D169" s="3"/>
      <c r="E169" s="3"/>
      <c r="F169" s="4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 spans="1:26" x14ac:dyDescent="0.25">
      <c r="A170" s="3"/>
      <c r="B170" s="3"/>
      <c r="C170" s="3"/>
      <c r="D170" s="3"/>
      <c r="E170" s="3"/>
      <c r="F170" s="4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 spans="1:26" x14ac:dyDescent="0.25">
      <c r="A171" s="3"/>
      <c r="B171" s="3"/>
      <c r="C171" s="3"/>
      <c r="D171" s="3"/>
      <c r="E171" s="3"/>
      <c r="F171" s="4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 spans="1:26" x14ac:dyDescent="0.25">
      <c r="A172" s="3"/>
      <c r="B172" s="3"/>
      <c r="C172" s="3"/>
      <c r="D172" s="3"/>
      <c r="E172" s="3"/>
      <c r="F172" s="4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 spans="1:26" x14ac:dyDescent="0.25">
      <c r="A173" s="3"/>
      <c r="B173" s="3"/>
      <c r="C173" s="3"/>
      <c r="D173" s="3"/>
      <c r="E173" s="3"/>
      <c r="F173" s="4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 spans="1:26" x14ac:dyDescent="0.25">
      <c r="A174" s="3"/>
      <c r="B174" s="3"/>
      <c r="C174" s="3"/>
      <c r="D174" s="3"/>
      <c r="E174" s="3"/>
      <c r="F174" s="4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 spans="1:26" x14ac:dyDescent="0.25">
      <c r="A175" s="3"/>
      <c r="B175" s="3"/>
      <c r="C175" s="3"/>
      <c r="D175" s="3"/>
      <c r="E175" s="3"/>
      <c r="F175" s="4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 spans="1:26" x14ac:dyDescent="0.25">
      <c r="A176" s="3"/>
      <c r="B176" s="3"/>
      <c r="C176" s="3"/>
      <c r="D176" s="3"/>
      <c r="E176" s="3"/>
      <c r="F176" s="4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 spans="1:26" x14ac:dyDescent="0.25">
      <c r="A177" s="3"/>
      <c r="B177" s="3"/>
      <c r="C177" s="3"/>
      <c r="D177" s="3"/>
      <c r="E177" s="3"/>
      <c r="F177" s="4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 spans="1:26" x14ac:dyDescent="0.25">
      <c r="A178" s="3"/>
      <c r="B178" s="3"/>
      <c r="C178" s="3"/>
      <c r="D178" s="3"/>
      <c r="E178" s="3"/>
      <c r="F178" s="4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 spans="1:26" x14ac:dyDescent="0.25">
      <c r="A179" s="3"/>
      <c r="B179" s="3"/>
      <c r="C179" s="3"/>
      <c r="D179" s="3"/>
      <c r="E179" s="3"/>
      <c r="F179" s="4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 spans="1:26" x14ac:dyDescent="0.25">
      <c r="A180" s="3"/>
      <c r="B180" s="3"/>
      <c r="C180" s="3"/>
      <c r="D180" s="3"/>
      <c r="E180" s="3"/>
      <c r="F180" s="4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 spans="1:26" x14ac:dyDescent="0.25">
      <c r="A181" s="3"/>
      <c r="B181" s="3"/>
      <c r="C181" s="3"/>
      <c r="D181" s="3"/>
      <c r="E181" s="3"/>
      <c r="F181" s="4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 spans="1:26" x14ac:dyDescent="0.25">
      <c r="A182" s="3"/>
      <c r="B182" s="3"/>
      <c r="C182" s="3"/>
      <c r="D182" s="3"/>
      <c r="E182" s="3"/>
      <c r="F182" s="4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 spans="1:26" x14ac:dyDescent="0.25">
      <c r="A183" s="3"/>
      <c r="B183" s="3"/>
      <c r="C183" s="3"/>
      <c r="D183" s="3"/>
      <c r="E183" s="3"/>
      <c r="F183" s="4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 spans="1:26" x14ac:dyDescent="0.25">
      <c r="A184" s="3"/>
      <c r="B184" s="3"/>
      <c r="C184" s="3"/>
      <c r="D184" s="3"/>
      <c r="E184" s="3"/>
      <c r="F184" s="4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 spans="1:26" x14ac:dyDescent="0.25">
      <c r="A185" s="3"/>
      <c r="B185" s="3"/>
      <c r="C185" s="3"/>
      <c r="D185" s="3"/>
      <c r="E185" s="3"/>
      <c r="F185" s="4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 spans="1:26" x14ac:dyDescent="0.25">
      <c r="A186" s="3"/>
      <c r="B186" s="3"/>
      <c r="C186" s="3"/>
      <c r="D186" s="3"/>
      <c r="E186" s="3"/>
      <c r="F186" s="4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 spans="1:26" x14ac:dyDescent="0.25">
      <c r="A187" s="3"/>
      <c r="B187" s="3"/>
      <c r="C187" s="3"/>
      <c r="D187" s="3"/>
      <c r="E187" s="3"/>
      <c r="F187" s="4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 spans="1:26" x14ac:dyDescent="0.25">
      <c r="A188" s="3"/>
      <c r="B188" s="3"/>
      <c r="C188" s="3"/>
      <c r="D188" s="3"/>
      <c r="E188" s="3"/>
      <c r="F188" s="4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 spans="1:26" x14ac:dyDescent="0.25">
      <c r="A189" s="3"/>
      <c r="B189" s="3"/>
      <c r="C189" s="3"/>
      <c r="D189" s="3"/>
      <c r="E189" s="3"/>
      <c r="F189" s="4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 spans="1:26" x14ac:dyDescent="0.25">
      <c r="A190" s="3"/>
      <c r="B190" s="3"/>
      <c r="C190" s="3"/>
      <c r="D190" s="3"/>
      <c r="E190" s="3"/>
      <c r="F190" s="4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 spans="1:26" x14ac:dyDescent="0.25">
      <c r="A191" s="3"/>
      <c r="B191" s="3"/>
      <c r="C191" s="3"/>
      <c r="D191" s="3"/>
      <c r="E191" s="3"/>
      <c r="F191" s="4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 spans="1:26" x14ac:dyDescent="0.25">
      <c r="A192" s="3"/>
      <c r="B192" s="3"/>
      <c r="C192" s="3"/>
      <c r="D192" s="3"/>
      <c r="E192" s="3"/>
      <c r="F192" s="4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 spans="1:26" x14ac:dyDescent="0.25">
      <c r="A193" s="3"/>
      <c r="B193" s="3"/>
      <c r="C193" s="3"/>
      <c r="D193" s="3"/>
      <c r="E193" s="3"/>
      <c r="F193" s="4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 spans="1:26" x14ac:dyDescent="0.25">
      <c r="A194" s="3"/>
      <c r="B194" s="3"/>
      <c r="C194" s="3"/>
      <c r="D194" s="3"/>
      <c r="E194" s="3"/>
      <c r="F194" s="4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 spans="1:26" x14ac:dyDescent="0.25">
      <c r="A195" s="3"/>
      <c r="B195" s="3"/>
      <c r="C195" s="3"/>
      <c r="D195" s="3"/>
      <c r="E195" s="3"/>
      <c r="F195" s="4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 spans="1:26" x14ac:dyDescent="0.25">
      <c r="A196" s="3"/>
      <c r="B196" s="3"/>
      <c r="C196" s="3"/>
      <c r="D196" s="3"/>
      <c r="E196" s="3"/>
      <c r="F196" s="4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 spans="1:26" x14ac:dyDescent="0.25">
      <c r="A197" s="3"/>
      <c r="B197" s="3"/>
      <c r="C197" s="3"/>
      <c r="D197" s="3"/>
      <c r="E197" s="3"/>
      <c r="F197" s="4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 spans="1:26" x14ac:dyDescent="0.25">
      <c r="A198" s="3"/>
      <c r="B198" s="3"/>
      <c r="C198" s="3"/>
      <c r="D198" s="3"/>
      <c r="E198" s="3"/>
      <c r="F198" s="4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 spans="1:26" x14ac:dyDescent="0.25">
      <c r="A199" s="3"/>
      <c r="B199" s="3"/>
      <c r="C199" s="3"/>
      <c r="D199" s="3"/>
      <c r="E199" s="3"/>
      <c r="F199" s="4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 spans="1:26" x14ac:dyDescent="0.25">
      <c r="A200" s="3"/>
      <c r="B200" s="3"/>
      <c r="C200" s="3"/>
      <c r="D200" s="3"/>
      <c r="E200" s="3"/>
      <c r="F200" s="4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 spans="1:26" x14ac:dyDescent="0.25">
      <c r="A201" s="3"/>
      <c r="B201" s="3"/>
      <c r="C201" s="3"/>
      <c r="D201" s="3"/>
      <c r="E201" s="3"/>
      <c r="F201" s="4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 spans="1:26" x14ac:dyDescent="0.25">
      <c r="A202" s="3"/>
      <c r="B202" s="3"/>
      <c r="C202" s="3"/>
      <c r="D202" s="3"/>
      <c r="E202" s="3"/>
      <c r="F202" s="4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 spans="1:26" x14ac:dyDescent="0.25">
      <c r="A203" s="3"/>
      <c r="B203" s="3"/>
      <c r="C203" s="3"/>
      <c r="D203" s="3"/>
      <c r="E203" s="3"/>
      <c r="F203" s="4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 spans="1:26" x14ac:dyDescent="0.25">
      <c r="A204" s="3"/>
      <c r="B204" s="3"/>
      <c r="C204" s="3"/>
      <c r="D204" s="3"/>
      <c r="E204" s="3"/>
      <c r="F204" s="4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 spans="1:26" x14ac:dyDescent="0.25">
      <c r="A205" s="3"/>
      <c r="B205" s="3"/>
      <c r="C205" s="3"/>
      <c r="D205" s="3"/>
      <c r="E205" s="3"/>
      <c r="F205" s="4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 spans="1:26" x14ac:dyDescent="0.25">
      <c r="A206" s="3"/>
      <c r="B206" s="3"/>
      <c r="C206" s="3"/>
      <c r="D206" s="3"/>
      <c r="E206" s="3"/>
      <c r="F206" s="4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 spans="1:26" x14ac:dyDescent="0.25">
      <c r="A207" s="3"/>
      <c r="B207" s="3"/>
      <c r="C207" s="3"/>
      <c r="D207" s="3"/>
      <c r="E207" s="3"/>
      <c r="F207" s="4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 spans="1:26" x14ac:dyDescent="0.25">
      <c r="A208" s="3"/>
      <c r="B208" s="3"/>
      <c r="C208" s="3"/>
      <c r="D208" s="3"/>
      <c r="E208" s="3"/>
      <c r="F208" s="4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 spans="1:26" x14ac:dyDescent="0.25">
      <c r="A209" s="3"/>
      <c r="B209" s="3"/>
      <c r="C209" s="3"/>
      <c r="D209" s="3"/>
      <c r="E209" s="3"/>
      <c r="F209" s="4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 spans="1:26" x14ac:dyDescent="0.25">
      <c r="A210" s="3"/>
      <c r="B210" s="3"/>
      <c r="C210" s="3"/>
      <c r="D210" s="3"/>
      <c r="E210" s="3"/>
      <c r="F210" s="4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 spans="1:26" x14ac:dyDescent="0.25">
      <c r="A211" s="3"/>
      <c r="B211" s="3"/>
      <c r="C211" s="3"/>
      <c r="D211" s="3"/>
      <c r="E211" s="3"/>
      <c r="F211" s="4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 spans="1:26" x14ac:dyDescent="0.25">
      <c r="A212" s="3"/>
      <c r="B212" s="3"/>
      <c r="C212" s="3"/>
      <c r="D212" s="3"/>
      <c r="E212" s="3"/>
      <c r="F212" s="4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 spans="1:26" x14ac:dyDescent="0.25">
      <c r="A213" s="3"/>
      <c r="B213" s="3"/>
      <c r="C213" s="3"/>
      <c r="D213" s="3"/>
      <c r="E213" s="3"/>
      <c r="F213" s="4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 spans="1:26" x14ac:dyDescent="0.25">
      <c r="A214" s="3"/>
      <c r="B214" s="3"/>
      <c r="C214" s="3"/>
      <c r="D214" s="3"/>
      <c r="E214" s="3"/>
      <c r="F214" s="4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 spans="1:26" x14ac:dyDescent="0.25">
      <c r="A215" s="3"/>
      <c r="B215" s="3"/>
      <c r="C215" s="3"/>
      <c r="D215" s="3"/>
      <c r="E215" s="3"/>
      <c r="F215" s="4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 spans="1:26" x14ac:dyDescent="0.25">
      <c r="A216" s="3"/>
      <c r="B216" s="3"/>
      <c r="C216" s="3"/>
      <c r="D216" s="3"/>
      <c r="E216" s="3"/>
      <c r="F216" s="4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 spans="1:26" x14ac:dyDescent="0.25">
      <c r="A217" s="3"/>
      <c r="B217" s="3"/>
      <c r="C217" s="3"/>
      <c r="D217" s="3"/>
      <c r="E217" s="3"/>
      <c r="F217" s="4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 spans="1:26" x14ac:dyDescent="0.25">
      <c r="A218" s="3"/>
      <c r="B218" s="3"/>
      <c r="C218" s="3"/>
      <c r="D218" s="3"/>
      <c r="E218" s="3"/>
      <c r="F218" s="4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 spans="1:26" x14ac:dyDescent="0.25">
      <c r="A219" s="3"/>
      <c r="B219" s="3"/>
      <c r="C219" s="3"/>
      <c r="D219" s="3"/>
      <c r="E219" s="3"/>
      <c r="F219" s="4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 spans="1:26" x14ac:dyDescent="0.25">
      <c r="A220" s="3"/>
      <c r="B220" s="3"/>
      <c r="C220" s="3"/>
      <c r="D220" s="3"/>
      <c r="E220" s="3"/>
      <c r="F220" s="4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 spans="1:26" x14ac:dyDescent="0.25">
      <c r="A221" s="3"/>
      <c r="B221" s="3"/>
      <c r="C221" s="3"/>
      <c r="D221" s="3"/>
      <c r="E221" s="3"/>
      <c r="F221" s="4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 spans="1:26" x14ac:dyDescent="0.25">
      <c r="A222" s="3"/>
      <c r="B222" s="3"/>
      <c r="C222" s="3"/>
      <c r="D222" s="3"/>
      <c r="E222" s="3"/>
      <c r="F222" s="4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 spans="1:26" x14ac:dyDescent="0.25">
      <c r="A223" s="3"/>
      <c r="B223" s="3"/>
      <c r="C223" s="3"/>
      <c r="D223" s="3"/>
      <c r="E223" s="3"/>
      <c r="F223" s="4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 spans="1:26" x14ac:dyDescent="0.25">
      <c r="A224" s="3"/>
      <c r="B224" s="3"/>
      <c r="C224" s="3"/>
      <c r="D224" s="3"/>
      <c r="E224" s="3"/>
      <c r="F224" s="4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 spans="1:26" x14ac:dyDescent="0.25">
      <c r="A225" s="3"/>
      <c r="B225" s="3"/>
      <c r="C225" s="3"/>
      <c r="D225" s="3"/>
      <c r="E225" s="3"/>
      <c r="F225" s="4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 spans="1:26" x14ac:dyDescent="0.25">
      <c r="A226" s="3"/>
      <c r="B226" s="3"/>
      <c r="C226" s="3"/>
      <c r="D226" s="3"/>
      <c r="E226" s="3"/>
      <c r="F226" s="4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 spans="1:26" x14ac:dyDescent="0.25">
      <c r="A227" s="3"/>
      <c r="B227" s="3"/>
      <c r="C227" s="3"/>
      <c r="D227" s="3"/>
      <c r="E227" s="3"/>
      <c r="F227" s="4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 spans="1:26" x14ac:dyDescent="0.25">
      <c r="A228" s="3"/>
      <c r="B228" s="3"/>
      <c r="C228" s="3"/>
      <c r="D228" s="3"/>
      <c r="E228" s="3"/>
      <c r="F228" s="4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 spans="1:26" x14ac:dyDescent="0.25">
      <c r="A229" s="3"/>
      <c r="B229" s="3"/>
      <c r="C229" s="3"/>
      <c r="D229" s="3"/>
      <c r="E229" s="3"/>
      <c r="F229" s="4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 spans="1:26" x14ac:dyDescent="0.25">
      <c r="A230" s="3"/>
      <c r="B230" s="3"/>
      <c r="C230" s="3"/>
      <c r="D230" s="3"/>
      <c r="E230" s="3"/>
      <c r="F230" s="4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 spans="1:26" x14ac:dyDescent="0.25">
      <c r="A231" s="3"/>
      <c r="B231" s="3"/>
      <c r="C231" s="3"/>
      <c r="D231" s="3"/>
      <c r="E231" s="3"/>
      <c r="F231" s="4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 spans="1:26" x14ac:dyDescent="0.25">
      <c r="A232" s="3"/>
      <c r="B232" s="3"/>
      <c r="C232" s="3"/>
      <c r="D232" s="3"/>
      <c r="E232" s="3"/>
      <c r="F232" s="4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 spans="1:26" x14ac:dyDescent="0.25">
      <c r="A233" s="3"/>
      <c r="B233" s="3"/>
      <c r="C233" s="3"/>
      <c r="D233" s="3"/>
      <c r="E233" s="3"/>
      <c r="F233" s="4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 spans="1:26" x14ac:dyDescent="0.25">
      <c r="A234" s="3"/>
      <c r="B234" s="3"/>
      <c r="C234" s="3"/>
      <c r="D234" s="3"/>
      <c r="E234" s="3"/>
      <c r="F234" s="4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 spans="1:26" x14ac:dyDescent="0.25">
      <c r="A235" s="3"/>
      <c r="B235" s="3"/>
      <c r="C235" s="3"/>
      <c r="D235" s="3"/>
      <c r="E235" s="3"/>
      <c r="F235" s="4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 spans="1:26" x14ac:dyDescent="0.25">
      <c r="A236" s="3"/>
      <c r="B236" s="3"/>
      <c r="C236" s="3"/>
      <c r="D236" s="3"/>
      <c r="E236" s="3"/>
      <c r="F236" s="4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 spans="1:26" x14ac:dyDescent="0.25">
      <c r="A237" s="3"/>
      <c r="B237" s="3"/>
      <c r="C237" s="3"/>
      <c r="D237" s="3"/>
      <c r="E237" s="3"/>
      <c r="F237" s="4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 spans="1:26" x14ac:dyDescent="0.25">
      <c r="A238" s="3"/>
      <c r="B238" s="3"/>
      <c r="C238" s="3"/>
      <c r="D238" s="3"/>
      <c r="E238" s="3"/>
      <c r="F238" s="4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 spans="1:26" x14ac:dyDescent="0.25">
      <c r="A239" s="3"/>
      <c r="B239" s="3"/>
      <c r="C239" s="3"/>
      <c r="D239" s="3"/>
      <c r="E239" s="3"/>
      <c r="F239" s="4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 spans="1:26" x14ac:dyDescent="0.25">
      <c r="A240" s="3"/>
      <c r="B240" s="3"/>
      <c r="C240" s="3"/>
      <c r="D240" s="3"/>
      <c r="E240" s="3"/>
      <c r="F240" s="4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 spans="1:26" x14ac:dyDescent="0.25">
      <c r="A241" s="3"/>
      <c r="B241" s="3"/>
      <c r="C241" s="3"/>
      <c r="D241" s="3"/>
      <c r="E241" s="3"/>
      <c r="F241" s="4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 spans="1:26" x14ac:dyDescent="0.25">
      <c r="A242" s="3"/>
      <c r="B242" s="3"/>
      <c r="C242" s="3"/>
      <c r="D242" s="3"/>
      <c r="E242" s="3"/>
      <c r="F242" s="4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 spans="1:26" x14ac:dyDescent="0.25">
      <c r="A243" s="3"/>
      <c r="B243" s="3"/>
      <c r="C243" s="3"/>
      <c r="D243" s="3"/>
      <c r="E243" s="3"/>
      <c r="F243" s="4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 spans="1:26" x14ac:dyDescent="0.25">
      <c r="A244" s="3"/>
      <c r="B244" s="3"/>
      <c r="C244" s="3"/>
      <c r="D244" s="3"/>
      <c r="E244" s="3"/>
      <c r="F244" s="4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 spans="1:26" x14ac:dyDescent="0.25">
      <c r="A245" s="3"/>
      <c r="B245" s="3"/>
      <c r="C245" s="3"/>
      <c r="D245" s="3"/>
      <c r="E245" s="3"/>
      <c r="F245" s="4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 spans="1:26" x14ac:dyDescent="0.25">
      <c r="A246" s="3"/>
      <c r="B246" s="3"/>
      <c r="C246" s="3"/>
      <c r="D246" s="3"/>
      <c r="E246" s="3"/>
      <c r="F246" s="4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 spans="1:26" x14ac:dyDescent="0.25">
      <c r="A247" s="3"/>
      <c r="B247" s="3"/>
      <c r="C247" s="3"/>
      <c r="D247" s="3"/>
      <c r="E247" s="3"/>
      <c r="F247" s="4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 spans="1:26" x14ac:dyDescent="0.25">
      <c r="A248" s="3"/>
      <c r="B248" s="3"/>
      <c r="C248" s="3"/>
      <c r="D248" s="3"/>
      <c r="E248" s="3"/>
      <c r="F248" s="4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 spans="1:26" x14ac:dyDescent="0.25">
      <c r="A249" s="3"/>
      <c r="B249" s="3"/>
      <c r="C249" s="3"/>
      <c r="D249" s="3"/>
      <c r="E249" s="3"/>
      <c r="F249" s="4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 spans="1:26" x14ac:dyDescent="0.25">
      <c r="A250" s="3"/>
      <c r="B250" s="3"/>
      <c r="C250" s="3"/>
      <c r="D250" s="3"/>
      <c r="E250" s="3"/>
      <c r="F250" s="4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 spans="1:26" x14ac:dyDescent="0.25">
      <c r="A251" s="3"/>
      <c r="B251" s="3"/>
      <c r="C251" s="3"/>
      <c r="D251" s="3"/>
      <c r="E251" s="3"/>
      <c r="F251" s="4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 spans="1:26" x14ac:dyDescent="0.25">
      <c r="A252" s="3"/>
      <c r="B252" s="3"/>
      <c r="C252" s="3"/>
      <c r="D252" s="3"/>
      <c r="E252" s="3"/>
      <c r="F252" s="4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 spans="1:26" x14ac:dyDescent="0.25">
      <c r="A253" s="3"/>
      <c r="B253" s="3"/>
      <c r="C253" s="3"/>
      <c r="D253" s="3"/>
      <c r="E253" s="3"/>
      <c r="F253" s="4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 spans="1:26" x14ac:dyDescent="0.25">
      <c r="A254" s="3"/>
      <c r="B254" s="3"/>
      <c r="C254" s="3"/>
      <c r="D254" s="3"/>
      <c r="E254" s="3"/>
      <c r="F254" s="4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 spans="1:26" x14ac:dyDescent="0.25">
      <c r="A255" s="3"/>
      <c r="B255" s="3"/>
      <c r="C255" s="3"/>
      <c r="D255" s="3"/>
      <c r="E255" s="3"/>
      <c r="F255" s="4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70">
    <mergeCell ref="B2:D2"/>
    <mergeCell ref="B4:B5"/>
    <mergeCell ref="C4:C5"/>
    <mergeCell ref="D4:D5"/>
    <mergeCell ref="E4:E5"/>
    <mergeCell ref="F4:F5"/>
    <mergeCell ref="H4:H5"/>
    <mergeCell ref="I4:I5"/>
    <mergeCell ref="B6:B7"/>
    <mergeCell ref="C6:C7"/>
    <mergeCell ref="D6:D7"/>
    <mergeCell ref="E6:E7"/>
    <mergeCell ref="F6:F7"/>
    <mergeCell ref="H6:H7"/>
    <mergeCell ref="I6:I7"/>
    <mergeCell ref="B8:B9"/>
    <mergeCell ref="C8:C9"/>
    <mergeCell ref="D8:D9"/>
    <mergeCell ref="E8:E9"/>
    <mergeCell ref="F8:F9"/>
    <mergeCell ref="H8:H9"/>
    <mergeCell ref="I8:I9"/>
    <mergeCell ref="B10:B11"/>
    <mergeCell ref="C10:C11"/>
    <mergeCell ref="D10:D11"/>
    <mergeCell ref="E10:E11"/>
    <mergeCell ref="F10:F11"/>
    <mergeCell ref="H10:H11"/>
    <mergeCell ref="I10:I11"/>
    <mergeCell ref="B12:B13"/>
    <mergeCell ref="C12:C13"/>
    <mergeCell ref="D12:D13"/>
    <mergeCell ref="E12:E13"/>
    <mergeCell ref="F12:F13"/>
    <mergeCell ref="H12:H13"/>
    <mergeCell ref="I12:I13"/>
    <mergeCell ref="B14:B15"/>
    <mergeCell ref="C14:C15"/>
    <mergeCell ref="D14:D15"/>
    <mergeCell ref="E14:E15"/>
    <mergeCell ref="F14:F15"/>
    <mergeCell ref="H14:H15"/>
    <mergeCell ref="I14:I15"/>
    <mergeCell ref="B16:B17"/>
    <mergeCell ref="C16:C17"/>
    <mergeCell ref="D16:D17"/>
    <mergeCell ref="E16:E17"/>
    <mergeCell ref="F16:F17"/>
    <mergeCell ref="H16:H17"/>
    <mergeCell ref="I16:I17"/>
    <mergeCell ref="B18:B19"/>
    <mergeCell ref="C18:C19"/>
    <mergeCell ref="D18:D19"/>
    <mergeCell ref="E18:E19"/>
    <mergeCell ref="F18:F19"/>
    <mergeCell ref="H18:H19"/>
    <mergeCell ref="I18:I19"/>
    <mergeCell ref="B20:B21"/>
    <mergeCell ref="C20:C21"/>
    <mergeCell ref="D20:D21"/>
    <mergeCell ref="E20:E21"/>
    <mergeCell ref="F20:F21"/>
    <mergeCell ref="H20:H21"/>
    <mergeCell ref="I20:I21"/>
    <mergeCell ref="B22:B23"/>
    <mergeCell ref="C22:C23"/>
    <mergeCell ref="D22:D23"/>
    <mergeCell ref="E22:E23"/>
    <mergeCell ref="F22:F23"/>
    <mergeCell ref="H22:H23"/>
    <mergeCell ref="I22:I23"/>
    <mergeCell ref="B24:B25"/>
    <mergeCell ref="C24:C25"/>
    <mergeCell ref="D24:D25"/>
    <mergeCell ref="E24:E25"/>
    <mergeCell ref="F24:F25"/>
    <mergeCell ref="H24:H25"/>
    <mergeCell ref="I24:I25"/>
    <mergeCell ref="B26:B27"/>
    <mergeCell ref="C26:C27"/>
    <mergeCell ref="D26:D27"/>
    <mergeCell ref="E26:E27"/>
    <mergeCell ref="F26:F27"/>
    <mergeCell ref="H26:H27"/>
    <mergeCell ref="I26:I27"/>
    <mergeCell ref="B31:D31"/>
    <mergeCell ref="B33:B34"/>
    <mergeCell ref="C33:C34"/>
    <mergeCell ref="D33:D34"/>
    <mergeCell ref="E33:E34"/>
    <mergeCell ref="F33:F34"/>
    <mergeCell ref="H33:H34"/>
    <mergeCell ref="I33:I34"/>
    <mergeCell ref="B35:B36"/>
    <mergeCell ref="C35:C36"/>
    <mergeCell ref="D35:D36"/>
    <mergeCell ref="E35:E36"/>
    <mergeCell ref="F35:F36"/>
    <mergeCell ref="H35:H36"/>
    <mergeCell ref="I35:I36"/>
    <mergeCell ref="B37:B38"/>
    <mergeCell ref="C37:C38"/>
    <mergeCell ref="D37:D38"/>
    <mergeCell ref="E37:E38"/>
    <mergeCell ref="F37:F38"/>
    <mergeCell ref="H37:H38"/>
    <mergeCell ref="I37:I38"/>
    <mergeCell ref="B39:B40"/>
    <mergeCell ref="C39:C40"/>
    <mergeCell ref="D39:D40"/>
    <mergeCell ref="E39:E40"/>
    <mergeCell ref="F39:F40"/>
    <mergeCell ref="H39:H40"/>
    <mergeCell ref="I39:I40"/>
    <mergeCell ref="B41:B42"/>
    <mergeCell ref="C41:C42"/>
    <mergeCell ref="D41:D42"/>
    <mergeCell ref="E41:E42"/>
    <mergeCell ref="F41:F42"/>
    <mergeCell ref="H41:H42"/>
    <mergeCell ref="I41:I42"/>
    <mergeCell ref="B43:B44"/>
    <mergeCell ref="C43:C44"/>
    <mergeCell ref="D43:D44"/>
    <mergeCell ref="E43:E44"/>
    <mergeCell ref="F43:F44"/>
    <mergeCell ref="H43:H44"/>
    <mergeCell ref="I43:I44"/>
    <mergeCell ref="B45:B46"/>
    <mergeCell ref="C45:C46"/>
    <mergeCell ref="D45:D46"/>
    <mergeCell ref="E45:E46"/>
    <mergeCell ref="F45:F46"/>
    <mergeCell ref="H45:H46"/>
    <mergeCell ref="I45:I46"/>
    <mergeCell ref="B47:B48"/>
    <mergeCell ref="C47:C48"/>
    <mergeCell ref="D47:D48"/>
    <mergeCell ref="E47:E48"/>
    <mergeCell ref="F47:F48"/>
    <mergeCell ref="H47:H48"/>
    <mergeCell ref="I47:I48"/>
    <mergeCell ref="B49:B50"/>
    <mergeCell ref="C49:C50"/>
    <mergeCell ref="D49:D50"/>
    <mergeCell ref="E49:E50"/>
    <mergeCell ref="F49:F50"/>
    <mergeCell ref="H49:H50"/>
    <mergeCell ref="I49:I50"/>
    <mergeCell ref="B51:B52"/>
    <mergeCell ref="C51:C52"/>
    <mergeCell ref="D51:D52"/>
    <mergeCell ref="E51:E52"/>
    <mergeCell ref="F51:F52"/>
    <mergeCell ref="H51:H52"/>
    <mergeCell ref="I51:I52"/>
    <mergeCell ref="B53:B54"/>
    <mergeCell ref="C53:C54"/>
    <mergeCell ref="D53:D54"/>
    <mergeCell ref="E53:E54"/>
    <mergeCell ref="F53:F54"/>
    <mergeCell ref="H53:H54"/>
    <mergeCell ref="I53:I54"/>
    <mergeCell ref="B55:B56"/>
    <mergeCell ref="C55:C56"/>
    <mergeCell ref="D55:D56"/>
    <mergeCell ref="E55:E56"/>
    <mergeCell ref="F55:F56"/>
    <mergeCell ref="H55:H56"/>
    <mergeCell ref="I55:I56"/>
  </mergeCells>
  <printOptions gridLines="1" horizontalCentered="1"/>
  <pageMargins left="0.7" right="0.7" top="0.75" bottom="0.75" header="0" footer="0"/>
  <pageSetup paperSize="9" orientation="landscape" horizontalDpi="4294967295" verticalDpi="4294967295" pageOrder="overThenDown" cellComments="atEnd" scale="100" fitToWidth="1" fitToHeight="0" firstPageNumber="1" useFirstPageNumber="1" copies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35">
        <v>206</v>
      </c>
      <c r="D4" s="235">
        <v>65</v>
      </c>
      <c r="E4" s="235">
        <v>71</v>
      </c>
      <c r="F4" s="235">
        <v>74</v>
      </c>
      <c r="G4" s="235">
        <v>49</v>
      </c>
      <c r="H4" s="235">
        <v>50</v>
      </c>
      <c r="I4" s="235">
        <v>58</v>
      </c>
      <c r="J4" s="235">
        <v>54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35">
        <v>211</v>
      </c>
      <c r="D5" s="235">
        <v>64</v>
      </c>
      <c r="E5" s="235">
        <v>66</v>
      </c>
      <c r="F5" s="235">
        <v>67</v>
      </c>
      <c r="G5" s="235">
        <v>54</v>
      </c>
      <c r="H5" s="235">
        <v>49</v>
      </c>
      <c r="I5" s="235">
        <v>49</v>
      </c>
      <c r="J5" s="235">
        <v>47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35">
        <v>197</v>
      </c>
      <c r="D6" s="235">
        <v>76</v>
      </c>
      <c r="E6" s="235">
        <v>76</v>
      </c>
      <c r="F6" s="235">
        <v>63</v>
      </c>
      <c r="G6" s="235">
        <v>49</v>
      </c>
      <c r="H6" s="235">
        <v>55</v>
      </c>
      <c r="I6" s="235">
        <v>49</v>
      </c>
      <c r="J6" s="235">
        <v>48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35">
        <v>213</v>
      </c>
      <c r="D7" s="235">
        <v>70</v>
      </c>
      <c r="E7" s="235">
        <v>75</v>
      </c>
      <c r="F7" s="235">
        <v>75</v>
      </c>
      <c r="G7" s="235">
        <v>49</v>
      </c>
      <c r="H7" s="235">
        <v>48</v>
      </c>
      <c r="I7" s="235">
        <v>52</v>
      </c>
      <c r="J7" s="235">
        <v>52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35">
        <v>221</v>
      </c>
      <c r="D8" s="235">
        <v>73</v>
      </c>
      <c r="E8" s="235">
        <v>78</v>
      </c>
      <c r="F8" s="235">
        <v>64</v>
      </c>
      <c r="G8" s="235">
        <v>51</v>
      </c>
      <c r="H8" s="235">
        <v>51</v>
      </c>
      <c r="I8" s="235">
        <v>57</v>
      </c>
      <c r="J8" s="235">
        <v>49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35">
        <v>208</v>
      </c>
      <c r="D9" s="235">
        <v>69</v>
      </c>
      <c r="E9" s="235">
        <v>66</v>
      </c>
      <c r="F9" s="235">
        <v>66</v>
      </c>
      <c r="G9" s="235">
        <v>58</v>
      </c>
      <c r="H9" s="235">
        <v>52</v>
      </c>
      <c r="I9" s="235">
        <v>57</v>
      </c>
      <c r="J9" s="235">
        <v>53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35">
        <v>234</v>
      </c>
      <c r="D10" s="235">
        <v>75</v>
      </c>
      <c r="E10" s="235">
        <v>78</v>
      </c>
      <c r="F10" s="235">
        <v>77</v>
      </c>
      <c r="G10" s="235">
        <v>57</v>
      </c>
      <c r="H10" s="235">
        <v>48</v>
      </c>
      <c r="I10" s="235">
        <v>52</v>
      </c>
      <c r="J10" s="235">
        <v>49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35">
        <v>189</v>
      </c>
      <c r="D11" s="235">
        <v>68</v>
      </c>
      <c r="E11" s="235">
        <v>78</v>
      </c>
      <c r="F11" s="235">
        <v>66</v>
      </c>
      <c r="G11" s="235">
        <v>56</v>
      </c>
      <c r="H11" s="235">
        <v>52</v>
      </c>
      <c r="I11" s="235">
        <v>52</v>
      </c>
      <c r="J11" s="235">
        <v>58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35">
        <v>213</v>
      </c>
      <c r="D12" s="235">
        <v>73</v>
      </c>
      <c r="E12" s="235">
        <v>64</v>
      </c>
      <c r="F12" s="235">
        <v>67</v>
      </c>
      <c r="G12" s="235">
        <v>58</v>
      </c>
      <c r="H12" s="235">
        <v>53</v>
      </c>
      <c r="I12" s="235">
        <v>53</v>
      </c>
      <c r="J12" s="235">
        <v>55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35">
        <v>214</v>
      </c>
      <c r="D13" s="235">
        <v>70</v>
      </c>
      <c r="E13" s="235">
        <v>76</v>
      </c>
      <c r="F13" s="235">
        <v>65</v>
      </c>
      <c r="G13" s="235">
        <v>58</v>
      </c>
      <c r="H13" s="235">
        <v>47</v>
      </c>
      <c r="I13" s="235">
        <v>49</v>
      </c>
      <c r="J13" s="235">
        <v>54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35">
        <v>197</v>
      </c>
      <c r="D14" s="235">
        <v>64</v>
      </c>
      <c r="E14" s="235">
        <v>76</v>
      </c>
      <c r="F14" s="235">
        <v>66</v>
      </c>
      <c r="G14" s="235">
        <v>54</v>
      </c>
      <c r="H14" s="235">
        <v>54</v>
      </c>
      <c r="I14" s="235">
        <v>52</v>
      </c>
      <c r="J14" s="235">
        <v>54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/>
      <c r="C15" s="235">
        <v>231</v>
      </c>
      <c r="D15" s="235">
        <v>65</v>
      </c>
      <c r="E15" s="235">
        <v>73</v>
      </c>
      <c r="F15" s="235">
        <v>66</v>
      </c>
      <c r="G15" s="235">
        <v>51</v>
      </c>
      <c r="H15" s="235">
        <v>55</v>
      </c>
      <c r="I15" s="235">
        <v>50</v>
      </c>
      <c r="J15" s="235">
        <v>50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630.8333333</v>
      </c>
      <c r="C16" s="229">
        <f t="shared" ref="C16:K16" si="0">IFERROR(AVERAGE(C4:C15),0)</f>
        <v>211.1666667</v>
      </c>
      <c r="D16" s="229">
        <f t="shared" si="0"/>
        <v>69.33333333</v>
      </c>
      <c r="E16" s="229">
        <f t="shared" si="0"/>
        <v>73.08333333</v>
      </c>
      <c r="F16" s="229">
        <f t="shared" si="0"/>
        <v>68</v>
      </c>
      <c r="G16" s="229">
        <f t="shared" si="0"/>
        <v>53.66666667</v>
      </c>
      <c r="H16" s="229">
        <f t="shared" si="0"/>
        <v>51.16666667</v>
      </c>
      <c r="I16" s="229">
        <f t="shared" si="0"/>
        <v>52.5</v>
      </c>
      <c r="J16" s="229">
        <f t="shared" si="0"/>
        <v>51.91666667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40"/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35">
        <v>200</v>
      </c>
      <c r="D4" s="235">
        <v>64</v>
      </c>
      <c r="E4" s="235">
        <v>60</v>
      </c>
      <c r="F4" s="235">
        <v>72</v>
      </c>
      <c r="G4" s="235">
        <v>53</v>
      </c>
      <c r="H4" s="235">
        <v>48</v>
      </c>
      <c r="I4" s="235">
        <v>54</v>
      </c>
      <c r="J4" s="235">
        <v>52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35">
        <v>180</v>
      </c>
      <c r="D5" s="235">
        <v>61</v>
      </c>
      <c r="E5" s="235">
        <v>74</v>
      </c>
      <c r="F5" s="235">
        <v>74</v>
      </c>
      <c r="G5" s="235">
        <v>52</v>
      </c>
      <c r="H5" s="235">
        <v>55</v>
      </c>
      <c r="I5" s="235">
        <v>52</v>
      </c>
      <c r="J5" s="235">
        <v>47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35">
        <v>195</v>
      </c>
      <c r="D6" s="235">
        <v>74</v>
      </c>
      <c r="E6" s="235">
        <v>73</v>
      </c>
      <c r="F6" s="235">
        <v>74</v>
      </c>
      <c r="G6" s="235">
        <v>56</v>
      </c>
      <c r="H6" s="235">
        <v>48</v>
      </c>
      <c r="I6" s="235">
        <v>48</v>
      </c>
      <c r="J6" s="235">
        <v>46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35">
        <v>222</v>
      </c>
      <c r="D7" s="235">
        <v>67</v>
      </c>
      <c r="E7" s="235">
        <v>70</v>
      </c>
      <c r="F7" s="235">
        <v>62</v>
      </c>
      <c r="G7" s="235">
        <v>56</v>
      </c>
      <c r="H7" s="235">
        <v>55</v>
      </c>
      <c r="I7" s="235">
        <v>57</v>
      </c>
      <c r="J7" s="235">
        <v>55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35">
        <v>181</v>
      </c>
      <c r="D8" s="235">
        <v>72</v>
      </c>
      <c r="E8" s="235">
        <v>65</v>
      </c>
      <c r="F8" s="235">
        <v>75</v>
      </c>
      <c r="G8" s="235">
        <v>55</v>
      </c>
      <c r="H8" s="235">
        <v>55</v>
      </c>
      <c r="I8" s="235">
        <v>55</v>
      </c>
      <c r="J8" s="235">
        <v>48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35">
        <v>185</v>
      </c>
      <c r="D9" s="235">
        <v>74</v>
      </c>
      <c r="E9" s="235">
        <v>74</v>
      </c>
      <c r="F9" s="235">
        <v>64</v>
      </c>
      <c r="G9" s="235">
        <v>55</v>
      </c>
      <c r="H9" s="235">
        <v>51</v>
      </c>
      <c r="I9" s="235">
        <v>49</v>
      </c>
      <c r="J9" s="235">
        <v>55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35">
        <v>181</v>
      </c>
      <c r="D10" s="235">
        <v>63</v>
      </c>
      <c r="E10" s="235">
        <v>65</v>
      </c>
      <c r="F10" s="235">
        <v>74</v>
      </c>
      <c r="G10" s="235">
        <v>57</v>
      </c>
      <c r="H10" s="235">
        <v>48</v>
      </c>
      <c r="I10" s="235">
        <v>53</v>
      </c>
      <c r="J10" s="235">
        <v>50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35">
        <v>206</v>
      </c>
      <c r="D11" s="235">
        <v>75</v>
      </c>
      <c r="E11" s="235">
        <v>62</v>
      </c>
      <c r="F11" s="235">
        <v>76</v>
      </c>
      <c r="G11" s="235">
        <v>47</v>
      </c>
      <c r="H11" s="235">
        <v>57</v>
      </c>
      <c r="I11" s="235">
        <v>48</v>
      </c>
      <c r="J11" s="235">
        <v>46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35">
        <v>215</v>
      </c>
      <c r="D12" s="235">
        <v>65</v>
      </c>
      <c r="E12" s="235">
        <v>70</v>
      </c>
      <c r="F12" s="235">
        <v>68</v>
      </c>
      <c r="G12" s="235">
        <v>50</v>
      </c>
      <c r="H12" s="235">
        <v>52</v>
      </c>
      <c r="I12" s="235">
        <v>48</v>
      </c>
      <c r="J12" s="235">
        <v>54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35">
        <v>224</v>
      </c>
      <c r="D13" s="235">
        <v>69</v>
      </c>
      <c r="E13" s="235">
        <v>72</v>
      </c>
      <c r="F13" s="235">
        <v>72</v>
      </c>
      <c r="G13" s="235">
        <v>53</v>
      </c>
      <c r="H13" s="235">
        <v>49</v>
      </c>
      <c r="I13" s="235">
        <v>46</v>
      </c>
      <c r="J13" s="235">
        <v>53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35">
        <v>195</v>
      </c>
      <c r="D14" s="235">
        <v>74</v>
      </c>
      <c r="E14" s="235">
        <v>72</v>
      </c>
      <c r="F14" s="235">
        <v>65</v>
      </c>
      <c r="G14" s="235">
        <v>49</v>
      </c>
      <c r="H14" s="235">
        <v>50</v>
      </c>
      <c r="I14" s="235">
        <v>50</v>
      </c>
      <c r="J14" s="235">
        <v>49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/>
      <c r="C15" s="235">
        <v>200</v>
      </c>
      <c r="D15" s="235">
        <v>75</v>
      </c>
      <c r="E15" s="235">
        <v>71</v>
      </c>
      <c r="F15" s="235">
        <v>74</v>
      </c>
      <c r="G15" s="235">
        <v>52</v>
      </c>
      <c r="H15" s="235">
        <v>49</v>
      </c>
      <c r="I15" s="235">
        <v>52</v>
      </c>
      <c r="J15" s="235">
        <v>45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613.25</v>
      </c>
      <c r="C16" s="229">
        <f t="shared" ref="C16:K16" si="0">IFERROR(AVERAGE(C4:C15),0)</f>
        <v>198.6666667</v>
      </c>
      <c r="D16" s="229">
        <f t="shared" si="0"/>
        <v>69.41666667</v>
      </c>
      <c r="E16" s="229">
        <f t="shared" si="0"/>
        <v>69</v>
      </c>
      <c r="F16" s="229">
        <f t="shared" si="0"/>
        <v>70.83333333</v>
      </c>
      <c r="G16" s="229">
        <f t="shared" si="0"/>
        <v>52.91666667</v>
      </c>
      <c r="H16" s="229">
        <f t="shared" si="0"/>
        <v>51.41666667</v>
      </c>
      <c r="I16" s="229">
        <f t="shared" si="0"/>
        <v>51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35">
        <v>140</v>
      </c>
      <c r="D4" s="235">
        <v>59</v>
      </c>
      <c r="E4" s="235">
        <v>52</v>
      </c>
      <c r="F4" s="235">
        <v>45</v>
      </c>
      <c r="G4" s="235">
        <v>36</v>
      </c>
      <c r="H4" s="235">
        <v>43</v>
      </c>
      <c r="I4" s="235">
        <v>38</v>
      </c>
      <c r="J4" s="235">
        <v>43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35">
        <v>179</v>
      </c>
      <c r="D5" s="235">
        <v>54</v>
      </c>
      <c r="E5" s="235">
        <v>59</v>
      </c>
      <c r="F5" s="235">
        <v>58</v>
      </c>
      <c r="G5" s="235">
        <v>40</v>
      </c>
      <c r="H5" s="235">
        <v>42</v>
      </c>
      <c r="I5" s="235">
        <v>39</v>
      </c>
      <c r="J5" s="235">
        <v>43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35">
        <v>175</v>
      </c>
      <c r="D6" s="235">
        <v>56</v>
      </c>
      <c r="E6" s="235">
        <v>52</v>
      </c>
      <c r="F6" s="235">
        <v>48</v>
      </c>
      <c r="G6" s="235">
        <v>36</v>
      </c>
      <c r="H6" s="235">
        <v>41</v>
      </c>
      <c r="I6" s="235">
        <v>42</v>
      </c>
      <c r="J6" s="235">
        <v>39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35">
        <v>145</v>
      </c>
      <c r="D7" s="235">
        <v>45</v>
      </c>
      <c r="E7" s="235">
        <v>49</v>
      </c>
      <c r="F7" s="235">
        <v>48</v>
      </c>
      <c r="G7" s="235">
        <v>37</v>
      </c>
      <c r="H7" s="235">
        <v>39</v>
      </c>
      <c r="I7" s="235">
        <v>35</v>
      </c>
      <c r="J7" s="235">
        <v>36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35">
        <v>166</v>
      </c>
      <c r="D8" s="235">
        <v>45</v>
      </c>
      <c r="E8" s="235">
        <v>51</v>
      </c>
      <c r="F8" s="235">
        <v>53</v>
      </c>
      <c r="G8" s="235">
        <v>38</v>
      </c>
      <c r="H8" s="235">
        <v>35</v>
      </c>
      <c r="I8" s="235">
        <v>38</v>
      </c>
      <c r="J8" s="235">
        <v>44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35">
        <v>165</v>
      </c>
      <c r="D9" s="235">
        <v>58</v>
      </c>
      <c r="E9" s="235">
        <v>56</v>
      </c>
      <c r="F9" s="235">
        <v>50</v>
      </c>
      <c r="G9" s="235">
        <v>33</v>
      </c>
      <c r="H9" s="235">
        <v>37</v>
      </c>
      <c r="I9" s="235">
        <v>42</v>
      </c>
      <c r="J9" s="235">
        <v>43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35">
        <v>152</v>
      </c>
      <c r="D10" s="235">
        <v>56</v>
      </c>
      <c r="E10" s="235">
        <v>53</v>
      </c>
      <c r="F10" s="235">
        <v>54</v>
      </c>
      <c r="G10" s="235">
        <v>36</v>
      </c>
      <c r="H10" s="235">
        <v>36</v>
      </c>
      <c r="I10" s="235">
        <v>38</v>
      </c>
      <c r="J10" s="235">
        <v>33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35">
        <v>165</v>
      </c>
      <c r="D11" s="235">
        <v>50</v>
      </c>
      <c r="E11" s="235">
        <v>47</v>
      </c>
      <c r="F11" s="235">
        <v>51</v>
      </c>
      <c r="G11" s="235">
        <v>35</v>
      </c>
      <c r="H11" s="235">
        <v>40</v>
      </c>
      <c r="I11" s="235">
        <v>33</v>
      </c>
      <c r="J11" s="235">
        <v>38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35">
        <v>133</v>
      </c>
      <c r="D12" s="235">
        <v>54</v>
      </c>
      <c r="E12" s="235">
        <v>46</v>
      </c>
      <c r="F12" s="235">
        <v>51</v>
      </c>
      <c r="G12" s="235">
        <v>34</v>
      </c>
      <c r="H12" s="235">
        <v>38</v>
      </c>
      <c r="I12" s="235">
        <v>36</v>
      </c>
      <c r="J12" s="235">
        <v>37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35">
        <v>150</v>
      </c>
      <c r="D13" s="235">
        <v>56</v>
      </c>
      <c r="E13" s="235">
        <v>57</v>
      </c>
      <c r="F13" s="235">
        <v>48</v>
      </c>
      <c r="G13" s="235">
        <v>34</v>
      </c>
      <c r="H13" s="235">
        <v>33</v>
      </c>
      <c r="I13" s="235">
        <v>39</v>
      </c>
      <c r="J13" s="235">
        <v>45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35">
        <v>163</v>
      </c>
      <c r="D14" s="235">
        <v>56</v>
      </c>
      <c r="E14" s="235">
        <v>54</v>
      </c>
      <c r="F14" s="235">
        <v>56</v>
      </c>
      <c r="G14" s="235">
        <v>44</v>
      </c>
      <c r="H14" s="235">
        <v>35</v>
      </c>
      <c r="I14" s="235">
        <v>33</v>
      </c>
      <c r="J14" s="235">
        <v>35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/>
      <c r="C15" s="235">
        <v>164</v>
      </c>
      <c r="D15" s="235">
        <v>53</v>
      </c>
      <c r="E15" s="235">
        <v>47</v>
      </c>
      <c r="F15" s="235">
        <v>55</v>
      </c>
      <c r="G15" s="235">
        <v>42</v>
      </c>
      <c r="H15" s="235">
        <v>35</v>
      </c>
      <c r="I15" s="235">
        <v>40</v>
      </c>
      <c r="J15" s="235">
        <v>42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467.4166667</v>
      </c>
      <c r="C16" s="229">
        <f t="shared" ref="C16:K16" si="0">IFERROR(AVERAGE(C4:C15),0)</f>
        <v>158.0833333</v>
      </c>
      <c r="D16" s="229">
        <f t="shared" si="0"/>
        <v>53.5</v>
      </c>
      <c r="E16" s="229">
        <f t="shared" si="0"/>
        <v>51.91666667</v>
      </c>
      <c r="F16" s="229">
        <f t="shared" si="0"/>
        <v>51.41666667</v>
      </c>
      <c r="G16" s="229">
        <f t="shared" si="0"/>
        <v>37.08333333</v>
      </c>
      <c r="H16" s="229">
        <f t="shared" si="0"/>
        <v>37.83333333</v>
      </c>
      <c r="I16" s="229">
        <f t="shared" si="0"/>
        <v>37.75</v>
      </c>
      <c r="J16" s="229">
        <f t="shared" si="0"/>
        <v>39.83333333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35">
        <v>221</v>
      </c>
      <c r="D4" s="235">
        <v>73</v>
      </c>
      <c r="E4" s="235">
        <v>72</v>
      </c>
      <c r="F4" s="235">
        <v>77</v>
      </c>
      <c r="G4" s="235">
        <v>52</v>
      </c>
      <c r="H4" s="235">
        <v>59</v>
      </c>
      <c r="I4" s="235">
        <v>59</v>
      </c>
      <c r="J4" s="235">
        <v>50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35">
        <v>207</v>
      </c>
      <c r="D5" s="235">
        <v>72</v>
      </c>
      <c r="E5" s="235">
        <v>75</v>
      </c>
      <c r="F5" s="235">
        <v>71</v>
      </c>
      <c r="G5" s="235">
        <v>49</v>
      </c>
      <c r="H5" s="235">
        <v>59</v>
      </c>
      <c r="I5" s="235">
        <v>51</v>
      </c>
      <c r="J5" s="235">
        <v>51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35">
        <v>211</v>
      </c>
      <c r="D6" s="235">
        <v>79</v>
      </c>
      <c r="E6" s="235">
        <v>76</v>
      </c>
      <c r="F6" s="235">
        <v>69</v>
      </c>
      <c r="G6" s="235">
        <v>49</v>
      </c>
      <c r="H6" s="235">
        <v>60</v>
      </c>
      <c r="I6" s="235">
        <v>50</v>
      </c>
      <c r="J6" s="235">
        <v>57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35">
        <v>231</v>
      </c>
      <c r="D7" s="235">
        <v>76</v>
      </c>
      <c r="E7" s="235">
        <v>75</v>
      </c>
      <c r="F7" s="235">
        <v>73</v>
      </c>
      <c r="G7" s="235">
        <v>58</v>
      </c>
      <c r="H7" s="235">
        <v>50</v>
      </c>
      <c r="I7" s="235">
        <v>51</v>
      </c>
      <c r="J7" s="235">
        <v>57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35">
        <v>223</v>
      </c>
      <c r="D8" s="235">
        <v>73</v>
      </c>
      <c r="E8" s="235">
        <v>73</v>
      </c>
      <c r="F8" s="235">
        <v>72</v>
      </c>
      <c r="G8" s="235">
        <v>58</v>
      </c>
      <c r="H8" s="235">
        <v>53</v>
      </c>
      <c r="I8" s="235">
        <v>57</v>
      </c>
      <c r="J8" s="235">
        <v>52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35">
        <v>201</v>
      </c>
      <c r="D9" s="235">
        <v>68</v>
      </c>
      <c r="E9" s="235">
        <v>67</v>
      </c>
      <c r="F9" s="235">
        <v>74</v>
      </c>
      <c r="G9" s="235">
        <v>58</v>
      </c>
      <c r="H9" s="235">
        <v>51</v>
      </c>
      <c r="I9" s="235">
        <v>51</v>
      </c>
      <c r="J9" s="235">
        <v>55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35">
        <v>242</v>
      </c>
      <c r="D10" s="235">
        <v>73</v>
      </c>
      <c r="E10" s="235">
        <v>70</v>
      </c>
      <c r="F10" s="235">
        <v>67</v>
      </c>
      <c r="G10" s="235">
        <v>51</v>
      </c>
      <c r="H10" s="235">
        <v>51</v>
      </c>
      <c r="I10" s="235">
        <v>51</v>
      </c>
      <c r="J10" s="235">
        <v>49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35">
        <v>208</v>
      </c>
      <c r="D11" s="235">
        <v>81</v>
      </c>
      <c r="E11" s="235">
        <v>74</v>
      </c>
      <c r="F11" s="235">
        <v>76</v>
      </c>
      <c r="G11" s="235">
        <v>50</v>
      </c>
      <c r="H11" s="235">
        <v>59</v>
      </c>
      <c r="I11" s="235">
        <v>55</v>
      </c>
      <c r="J11" s="235">
        <v>59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35">
        <v>218</v>
      </c>
      <c r="D12" s="235">
        <v>72</v>
      </c>
      <c r="E12" s="235">
        <v>68</v>
      </c>
      <c r="F12" s="235">
        <v>66</v>
      </c>
      <c r="G12" s="235">
        <v>60</v>
      </c>
      <c r="H12" s="235">
        <v>54</v>
      </c>
      <c r="I12" s="235">
        <v>59</v>
      </c>
      <c r="J12" s="235">
        <v>54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35">
        <v>225</v>
      </c>
      <c r="D13" s="235">
        <v>66</v>
      </c>
      <c r="E13" s="235">
        <v>67</v>
      </c>
      <c r="F13" s="235">
        <v>74</v>
      </c>
      <c r="G13" s="235">
        <v>52</v>
      </c>
      <c r="H13" s="235">
        <v>61</v>
      </c>
      <c r="I13" s="235">
        <v>50</v>
      </c>
      <c r="J13" s="235">
        <v>58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35">
        <v>233</v>
      </c>
      <c r="D14" s="235">
        <v>69</v>
      </c>
      <c r="E14" s="235">
        <v>73</v>
      </c>
      <c r="F14" s="235">
        <v>72</v>
      </c>
      <c r="G14" s="235">
        <v>54</v>
      </c>
      <c r="H14" s="235">
        <v>59</v>
      </c>
      <c r="I14" s="235">
        <v>61</v>
      </c>
      <c r="J14" s="235">
        <v>52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/>
      <c r="C15" s="235">
        <v>224</v>
      </c>
      <c r="D15" s="235">
        <v>77</v>
      </c>
      <c r="E15" s="235">
        <v>80</v>
      </c>
      <c r="F15" s="235">
        <v>68</v>
      </c>
      <c r="G15" s="235">
        <v>51</v>
      </c>
      <c r="H15" s="235">
        <v>57</v>
      </c>
      <c r="I15" s="235">
        <v>51</v>
      </c>
      <c r="J15" s="235">
        <v>51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654.8333333</v>
      </c>
      <c r="C16" s="229">
        <f t="shared" ref="C16:K16" si="0">IFERROR(AVERAGE(C4:C15),0)</f>
        <v>220.3333333</v>
      </c>
      <c r="D16" s="229">
        <f t="shared" si="0"/>
        <v>73.25</v>
      </c>
      <c r="E16" s="229">
        <f t="shared" si="0"/>
        <v>72.5</v>
      </c>
      <c r="F16" s="229">
        <f t="shared" si="0"/>
        <v>71.58333333</v>
      </c>
      <c r="G16" s="229">
        <f t="shared" si="0"/>
        <v>53.5</v>
      </c>
      <c r="H16" s="229">
        <f t="shared" si="0"/>
        <v>56.08333333</v>
      </c>
      <c r="I16" s="229">
        <f t="shared" si="0"/>
        <v>53.83333333</v>
      </c>
      <c r="J16" s="229">
        <f t="shared" si="0"/>
        <v>53.75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35">
        <v>244</v>
      </c>
      <c r="D4" s="235">
        <v>95</v>
      </c>
      <c r="E4" s="235">
        <v>93</v>
      </c>
      <c r="F4" s="235">
        <v>89</v>
      </c>
      <c r="G4" s="235">
        <v>71</v>
      </c>
      <c r="H4" s="235">
        <v>72</v>
      </c>
      <c r="I4" s="235">
        <v>68</v>
      </c>
      <c r="J4" s="235">
        <v>63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35">
        <v>276</v>
      </c>
      <c r="D5" s="235">
        <v>88</v>
      </c>
      <c r="E5" s="235">
        <v>90</v>
      </c>
      <c r="F5" s="235">
        <v>95</v>
      </c>
      <c r="G5" s="235">
        <v>62</v>
      </c>
      <c r="H5" s="235">
        <v>67</v>
      </c>
      <c r="I5" s="235">
        <v>68</v>
      </c>
      <c r="J5" s="235">
        <v>66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35">
        <v>257</v>
      </c>
      <c r="D6" s="235">
        <v>85</v>
      </c>
      <c r="E6" s="235">
        <v>91</v>
      </c>
      <c r="F6" s="235">
        <v>94</v>
      </c>
      <c r="G6" s="235">
        <v>64</v>
      </c>
      <c r="H6" s="235">
        <v>68</v>
      </c>
      <c r="I6" s="235">
        <v>63</v>
      </c>
      <c r="J6" s="235">
        <v>71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35">
        <v>266</v>
      </c>
      <c r="D7" s="235">
        <v>87</v>
      </c>
      <c r="E7" s="235">
        <v>85</v>
      </c>
      <c r="F7" s="235">
        <v>85</v>
      </c>
      <c r="G7" s="235">
        <v>72</v>
      </c>
      <c r="H7" s="235">
        <v>65</v>
      </c>
      <c r="I7" s="235">
        <v>66</v>
      </c>
      <c r="J7" s="235">
        <v>72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35">
        <v>266</v>
      </c>
      <c r="D8" s="235">
        <v>87</v>
      </c>
      <c r="E8" s="235">
        <v>83</v>
      </c>
      <c r="F8" s="235">
        <v>86</v>
      </c>
      <c r="G8" s="235">
        <v>69</v>
      </c>
      <c r="H8" s="235">
        <v>68</v>
      </c>
      <c r="I8" s="235">
        <v>69</v>
      </c>
      <c r="J8" s="235">
        <v>62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35">
        <v>285</v>
      </c>
      <c r="D9" s="235">
        <v>87</v>
      </c>
      <c r="E9" s="235">
        <v>91</v>
      </c>
      <c r="F9" s="235">
        <v>82</v>
      </c>
      <c r="G9" s="235">
        <v>72</v>
      </c>
      <c r="H9" s="235">
        <v>67</v>
      </c>
      <c r="I9" s="235">
        <v>63</v>
      </c>
      <c r="J9" s="235">
        <v>62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35">
        <v>267</v>
      </c>
      <c r="D10" s="235">
        <v>81</v>
      </c>
      <c r="E10" s="235">
        <v>96</v>
      </c>
      <c r="F10" s="235">
        <v>95</v>
      </c>
      <c r="G10" s="235">
        <v>66</v>
      </c>
      <c r="H10" s="235">
        <v>61</v>
      </c>
      <c r="I10" s="235">
        <v>70</v>
      </c>
      <c r="J10" s="235">
        <v>66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35">
        <v>264</v>
      </c>
      <c r="D11" s="235">
        <v>84</v>
      </c>
      <c r="E11" s="235">
        <v>93</v>
      </c>
      <c r="F11" s="235">
        <v>96</v>
      </c>
      <c r="G11" s="235">
        <v>63</v>
      </c>
      <c r="H11" s="235">
        <v>67</v>
      </c>
      <c r="I11" s="235">
        <v>65</v>
      </c>
      <c r="J11" s="235">
        <v>71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35">
        <v>282</v>
      </c>
      <c r="D12" s="235">
        <v>94</v>
      </c>
      <c r="E12" s="235">
        <v>84</v>
      </c>
      <c r="F12" s="235">
        <v>93</v>
      </c>
      <c r="G12" s="235">
        <v>65</v>
      </c>
      <c r="H12" s="235">
        <v>71</v>
      </c>
      <c r="I12" s="235">
        <v>66</v>
      </c>
      <c r="J12" s="235">
        <v>70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35">
        <v>254</v>
      </c>
      <c r="D13" s="235">
        <v>89</v>
      </c>
      <c r="E13" s="235">
        <v>96</v>
      </c>
      <c r="F13" s="235">
        <v>88</v>
      </c>
      <c r="G13" s="235">
        <v>62</v>
      </c>
      <c r="H13" s="235">
        <v>66</v>
      </c>
      <c r="I13" s="235">
        <v>64</v>
      </c>
      <c r="J13" s="235">
        <v>67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35">
        <v>262</v>
      </c>
      <c r="D14" s="235">
        <v>85</v>
      </c>
      <c r="E14" s="235">
        <v>83</v>
      </c>
      <c r="F14" s="235">
        <v>91</v>
      </c>
      <c r="G14" s="235">
        <v>67</v>
      </c>
      <c r="H14" s="235">
        <v>63</v>
      </c>
      <c r="I14" s="235">
        <v>69</v>
      </c>
      <c r="J14" s="235">
        <v>61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/>
      <c r="C15" s="235">
        <v>274</v>
      </c>
      <c r="D15" s="235">
        <v>93</v>
      </c>
      <c r="E15" s="235">
        <v>86</v>
      </c>
      <c r="F15" s="235">
        <v>91</v>
      </c>
      <c r="G15" s="235">
        <v>70</v>
      </c>
      <c r="H15" s="235">
        <v>72</v>
      </c>
      <c r="I15" s="235">
        <v>66</v>
      </c>
      <c r="J15" s="235">
        <v>60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800.5</v>
      </c>
      <c r="C16" s="229">
        <f t="shared" ref="C16:K16" si="0">IFERROR(AVERAGE(C4:C15),0)</f>
        <v>266.4166667</v>
      </c>
      <c r="D16" s="229">
        <f t="shared" si="0"/>
        <v>87.91666667</v>
      </c>
      <c r="E16" s="229">
        <f t="shared" si="0"/>
        <v>89.25</v>
      </c>
      <c r="F16" s="229">
        <f t="shared" si="0"/>
        <v>90.41666667</v>
      </c>
      <c r="G16" s="229">
        <f t="shared" si="0"/>
        <v>66.91666667</v>
      </c>
      <c r="H16" s="229">
        <f t="shared" si="0"/>
        <v>67.25</v>
      </c>
      <c r="I16" s="229">
        <f t="shared" si="0"/>
        <v>66.41666667</v>
      </c>
      <c r="J16" s="229">
        <f t="shared" si="0"/>
        <v>65.91666667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1">
        <v>250</v>
      </c>
      <c r="D4" s="242">
        <v>95</v>
      </c>
      <c r="E4" s="243">
        <v>95</v>
      </c>
      <c r="F4" s="243">
        <v>95</v>
      </c>
      <c r="G4" s="242">
        <v>75</v>
      </c>
      <c r="H4" s="242">
        <v>75</v>
      </c>
      <c r="I4" s="242">
        <v>75</v>
      </c>
      <c r="J4" s="242">
        <v>75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300</v>
      </c>
      <c r="D5" s="241">
        <v>95</v>
      </c>
      <c r="E5" s="245">
        <v>100</v>
      </c>
      <c r="F5" s="245">
        <v>100</v>
      </c>
      <c r="G5" s="241">
        <v>75</v>
      </c>
      <c r="H5" s="241">
        <v>75</v>
      </c>
      <c r="I5" s="241">
        <v>75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250</v>
      </c>
      <c r="D6" s="241">
        <v>90</v>
      </c>
      <c r="E6" s="245">
        <v>100</v>
      </c>
      <c r="F6" s="245">
        <v>100</v>
      </c>
      <c r="G6" s="241">
        <v>75</v>
      </c>
      <c r="H6" s="241">
        <v>70</v>
      </c>
      <c r="I6" s="241">
        <v>75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300</v>
      </c>
      <c r="D7" s="241">
        <v>94</v>
      </c>
      <c r="E7" s="241">
        <v>100</v>
      </c>
      <c r="F7" s="241">
        <v>90</v>
      </c>
      <c r="G7" s="241">
        <v>60</v>
      </c>
      <c r="H7" s="241">
        <v>75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250</v>
      </c>
      <c r="D8" s="241">
        <v>95</v>
      </c>
      <c r="E8" s="241">
        <v>100</v>
      </c>
      <c r="F8" s="241">
        <v>100</v>
      </c>
      <c r="G8" s="241">
        <v>75</v>
      </c>
      <c r="H8" s="241">
        <v>70</v>
      </c>
      <c r="I8" s="241">
        <v>75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96</v>
      </c>
      <c r="E9" s="241">
        <v>100</v>
      </c>
      <c r="F9" s="241">
        <v>90</v>
      </c>
      <c r="G9" s="241">
        <v>70</v>
      </c>
      <c r="H9" s="241">
        <v>75</v>
      </c>
      <c r="I9" s="241">
        <v>75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300</v>
      </c>
      <c r="D10" s="241">
        <v>97</v>
      </c>
      <c r="E10" s="241">
        <v>100</v>
      </c>
      <c r="F10" s="241">
        <v>100</v>
      </c>
      <c r="G10" s="241">
        <v>75</v>
      </c>
      <c r="H10" s="241">
        <v>75</v>
      </c>
      <c r="I10" s="241">
        <v>75</v>
      </c>
      <c r="J10" s="241">
        <v>75</v>
      </c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250</v>
      </c>
      <c r="D11" s="241">
        <v>100</v>
      </c>
      <c r="E11" s="241">
        <v>100</v>
      </c>
      <c r="F11" s="241">
        <v>100</v>
      </c>
      <c r="G11" s="241">
        <v>75</v>
      </c>
      <c r="H11" s="241">
        <v>70</v>
      </c>
      <c r="I11" s="241">
        <v>75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100</v>
      </c>
      <c r="E12" s="245">
        <v>90</v>
      </c>
      <c r="F12" s="245">
        <v>90</v>
      </c>
      <c r="G12" s="241">
        <v>75</v>
      </c>
      <c r="H12" s="241">
        <v>75</v>
      </c>
      <c r="I12" s="241">
        <v>75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250</v>
      </c>
      <c r="D13" s="241">
        <v>100</v>
      </c>
      <c r="E13" s="245">
        <v>93</v>
      </c>
      <c r="F13" s="245">
        <v>93</v>
      </c>
      <c r="G13" s="241">
        <v>70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100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47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>IFERROR(AVERAGE(C4:C10),0)</f>
        <v>271.4285714</v>
      </c>
      <c r="D16" s="229">
        <f>IFERROR(AVERAGE(D4:D6),0)</f>
        <v>93.33333333</v>
      </c>
      <c r="E16" s="229">
        <f>IFERROR(AVERAGE(E4:E10),0)</f>
        <v>99.28571429</v>
      </c>
      <c r="F16" s="229">
        <f t="shared" ref="F16:K16" si="0">IFERROR(AVERAGE(F4:F15),0)</f>
        <v>96.18181818</v>
      </c>
      <c r="G16" s="229">
        <f t="shared" si="0"/>
        <v>72.72727273</v>
      </c>
      <c r="H16" s="229">
        <f t="shared" si="0"/>
        <v>73.63636364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2">
        <v>250</v>
      </c>
      <c r="D4" s="242">
        <v>100</v>
      </c>
      <c r="E4" s="243">
        <v>95</v>
      </c>
      <c r="F4" s="243">
        <v>95</v>
      </c>
      <c r="G4" s="242">
        <v>75</v>
      </c>
      <c r="H4" s="242">
        <v>75</v>
      </c>
      <c r="I4" s="242">
        <v>75</v>
      </c>
      <c r="J4" s="242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250</v>
      </c>
      <c r="D5" s="241">
        <v>95</v>
      </c>
      <c r="E5" s="245">
        <v>100</v>
      </c>
      <c r="F5" s="245">
        <v>100</v>
      </c>
      <c r="G5" s="241">
        <v>75</v>
      </c>
      <c r="H5" s="241">
        <v>75</v>
      </c>
      <c r="I5" s="241">
        <v>75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250</v>
      </c>
      <c r="D6" s="241">
        <v>100</v>
      </c>
      <c r="E6" s="245">
        <v>100</v>
      </c>
      <c r="F6" s="245">
        <v>100</v>
      </c>
      <c r="G6" s="241">
        <v>75</v>
      </c>
      <c r="H6" s="241">
        <v>75</v>
      </c>
      <c r="I6" s="241">
        <v>75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250</v>
      </c>
      <c r="D7" s="241">
        <v>95</v>
      </c>
      <c r="E7" s="241">
        <v>100</v>
      </c>
      <c r="F7" s="241">
        <v>90</v>
      </c>
      <c r="G7" s="241">
        <v>75</v>
      </c>
      <c r="H7" s="241">
        <v>75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250</v>
      </c>
      <c r="D8" s="241">
        <v>100</v>
      </c>
      <c r="E8" s="241">
        <v>100</v>
      </c>
      <c r="F8" s="241">
        <v>100</v>
      </c>
      <c r="G8" s="241">
        <v>75</v>
      </c>
      <c r="H8" s="241">
        <v>75</v>
      </c>
      <c r="I8" s="241">
        <v>75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100</v>
      </c>
      <c r="E9" s="241">
        <v>100</v>
      </c>
      <c r="F9" s="241">
        <v>90</v>
      </c>
      <c r="G9" s="241">
        <v>75</v>
      </c>
      <c r="H9" s="241">
        <v>75</v>
      </c>
      <c r="I9" s="241">
        <v>75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300</v>
      </c>
      <c r="D10" s="241">
        <v>100</v>
      </c>
      <c r="E10" s="241">
        <v>100</v>
      </c>
      <c r="F10" s="241">
        <v>100</v>
      </c>
      <c r="G10" s="241">
        <v>75</v>
      </c>
      <c r="H10" s="241">
        <v>75</v>
      </c>
      <c r="I10" s="241">
        <v>75</v>
      </c>
      <c r="J10" s="241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250</v>
      </c>
      <c r="D11" s="241">
        <v>100</v>
      </c>
      <c r="E11" s="241">
        <v>100</v>
      </c>
      <c r="F11" s="241">
        <v>100</v>
      </c>
      <c r="G11" s="241">
        <v>75</v>
      </c>
      <c r="H11" s="241">
        <v>75</v>
      </c>
      <c r="I11" s="241">
        <v>75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90</v>
      </c>
      <c r="E12" s="245">
        <v>90</v>
      </c>
      <c r="F12" s="245">
        <v>90</v>
      </c>
      <c r="G12" s="241">
        <v>75</v>
      </c>
      <c r="H12" s="241">
        <v>75</v>
      </c>
      <c r="I12" s="241">
        <v>75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300</v>
      </c>
      <c r="D13" s="241">
        <v>90</v>
      </c>
      <c r="E13" s="245">
        <v>93</v>
      </c>
      <c r="F13" s="245">
        <v>93</v>
      </c>
      <c r="G13" s="241">
        <v>75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100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 t="shared" ref="C16:E16" si="0">IFERROR(AVERAGE(C4:C10),0)</f>
        <v>257.1428571</v>
      </c>
      <c r="D16" s="229">
        <f t="shared" si="0"/>
        <v>98.57142857</v>
      </c>
      <c r="E16" s="229">
        <f t="shared" si="0"/>
        <v>99.28571429</v>
      </c>
      <c r="F16" s="229">
        <f t="shared" ref="F16:K16" si="1">IFERROR(AVERAGE(F4:F15),0)</f>
        <v>96.18181818</v>
      </c>
      <c r="G16" s="229">
        <f t="shared" si="1"/>
        <v>75</v>
      </c>
      <c r="H16" s="229">
        <f t="shared" si="1"/>
        <v>75</v>
      </c>
      <c r="I16" s="229">
        <f t="shared" si="1"/>
        <v>75</v>
      </c>
      <c r="J16" s="229">
        <f t="shared" si="1"/>
        <v>75</v>
      </c>
      <c r="K16" s="210">
        <f t="shared" si="1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1">
        <v>250</v>
      </c>
      <c r="D4" s="242">
        <v>100</v>
      </c>
      <c r="E4" s="243">
        <v>95</v>
      </c>
      <c r="F4" s="243">
        <v>95</v>
      </c>
      <c r="G4" s="242">
        <v>75</v>
      </c>
      <c r="H4" s="242">
        <v>75</v>
      </c>
      <c r="I4" s="242">
        <v>75</v>
      </c>
      <c r="J4" s="242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300</v>
      </c>
      <c r="D5" s="241">
        <v>100</v>
      </c>
      <c r="E5" s="245">
        <v>100</v>
      </c>
      <c r="F5" s="245">
        <v>100</v>
      </c>
      <c r="G5" s="241">
        <v>75</v>
      </c>
      <c r="H5" s="241">
        <v>75</v>
      </c>
      <c r="I5" s="241">
        <v>75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250</v>
      </c>
      <c r="D6" s="241">
        <v>100</v>
      </c>
      <c r="E6" s="245">
        <v>100</v>
      </c>
      <c r="F6" s="245">
        <v>100</v>
      </c>
      <c r="G6" s="241">
        <v>75</v>
      </c>
      <c r="H6" s="241">
        <v>72</v>
      </c>
      <c r="I6" s="241">
        <v>74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250</v>
      </c>
      <c r="D7" s="241">
        <v>95</v>
      </c>
      <c r="E7" s="241">
        <v>100</v>
      </c>
      <c r="F7" s="241">
        <v>90</v>
      </c>
      <c r="G7" s="241">
        <v>75</v>
      </c>
      <c r="H7" s="241">
        <v>75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300</v>
      </c>
      <c r="D8" s="241">
        <v>100</v>
      </c>
      <c r="E8" s="241">
        <v>100</v>
      </c>
      <c r="F8" s="241">
        <v>100</v>
      </c>
      <c r="G8" s="241">
        <v>75</v>
      </c>
      <c r="H8" s="241">
        <v>71</v>
      </c>
      <c r="I8" s="241">
        <v>75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100</v>
      </c>
      <c r="E9" s="241">
        <v>100</v>
      </c>
      <c r="F9" s="241">
        <v>90</v>
      </c>
      <c r="G9" s="241">
        <v>75</v>
      </c>
      <c r="H9" s="241">
        <v>71</v>
      </c>
      <c r="I9" s="241">
        <v>75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250</v>
      </c>
      <c r="D10" s="241">
        <v>95</v>
      </c>
      <c r="E10" s="241">
        <v>100</v>
      </c>
      <c r="F10" s="241">
        <v>100</v>
      </c>
      <c r="G10" s="241">
        <v>75</v>
      </c>
      <c r="H10" s="241">
        <v>71</v>
      </c>
      <c r="I10" s="241">
        <v>72</v>
      </c>
      <c r="J10" s="241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300</v>
      </c>
      <c r="D11" s="241">
        <v>95</v>
      </c>
      <c r="E11" s="241">
        <v>100</v>
      </c>
      <c r="F11" s="241">
        <v>100</v>
      </c>
      <c r="G11" s="241">
        <v>75</v>
      </c>
      <c r="H11" s="241">
        <v>71</v>
      </c>
      <c r="I11" s="241">
        <v>73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90</v>
      </c>
      <c r="E12" s="245">
        <v>90</v>
      </c>
      <c r="F12" s="245">
        <v>90</v>
      </c>
      <c r="G12" s="241">
        <v>75</v>
      </c>
      <c r="H12" s="241">
        <v>75</v>
      </c>
      <c r="I12" s="241">
        <v>75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250</v>
      </c>
      <c r="D13" s="241">
        <v>100</v>
      </c>
      <c r="E13" s="245">
        <v>93</v>
      </c>
      <c r="F13" s="245">
        <v>93</v>
      </c>
      <c r="G13" s="241">
        <v>75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100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 t="shared" ref="C16:E16" si="0">IFERROR(AVERAGE(C4:C10),0)</f>
        <v>264.2857143</v>
      </c>
      <c r="D16" s="229">
        <f t="shared" si="0"/>
        <v>98.57142857</v>
      </c>
      <c r="E16" s="229">
        <f t="shared" si="0"/>
        <v>99.28571429</v>
      </c>
      <c r="F16" s="229">
        <f t="shared" ref="F16:K16" si="1">IFERROR(AVERAGE(F4:F15),0)</f>
        <v>96.18181818</v>
      </c>
      <c r="G16" s="229">
        <f t="shared" si="1"/>
        <v>75</v>
      </c>
      <c r="H16" s="229">
        <f t="shared" si="1"/>
        <v>73.27272727</v>
      </c>
      <c r="I16" s="229">
        <f t="shared" si="1"/>
        <v>74.45454545</v>
      </c>
      <c r="J16" s="229">
        <f t="shared" si="1"/>
        <v>75</v>
      </c>
      <c r="K16" s="210">
        <f t="shared" si="1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1">
        <v>250</v>
      </c>
      <c r="D4" s="242">
        <v>100</v>
      </c>
      <c r="E4" s="243">
        <v>95</v>
      </c>
      <c r="F4" s="243">
        <v>95</v>
      </c>
      <c r="G4" s="242">
        <v>75</v>
      </c>
      <c r="H4" s="242">
        <v>75</v>
      </c>
      <c r="I4" s="242">
        <v>70</v>
      </c>
      <c r="J4" s="242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300</v>
      </c>
      <c r="D5" s="241">
        <v>100</v>
      </c>
      <c r="E5" s="245">
        <v>100</v>
      </c>
      <c r="F5" s="245">
        <v>100</v>
      </c>
      <c r="G5" s="241">
        <v>75</v>
      </c>
      <c r="H5" s="241">
        <v>72</v>
      </c>
      <c r="I5" s="241">
        <v>70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250</v>
      </c>
      <c r="D6" s="241">
        <v>100</v>
      </c>
      <c r="E6" s="245">
        <v>100</v>
      </c>
      <c r="F6" s="245">
        <v>100</v>
      </c>
      <c r="G6" s="241">
        <v>75</v>
      </c>
      <c r="H6" s="241">
        <v>75</v>
      </c>
      <c r="I6" s="241">
        <v>70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250</v>
      </c>
      <c r="D7" s="241">
        <v>100</v>
      </c>
      <c r="E7" s="241">
        <v>100</v>
      </c>
      <c r="F7" s="241">
        <v>90</v>
      </c>
      <c r="G7" s="241">
        <v>75</v>
      </c>
      <c r="H7" s="241">
        <v>73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300</v>
      </c>
      <c r="D8" s="241">
        <v>100</v>
      </c>
      <c r="E8" s="241">
        <v>100</v>
      </c>
      <c r="F8" s="241">
        <v>100</v>
      </c>
      <c r="G8" s="241">
        <v>75</v>
      </c>
      <c r="H8" s="241">
        <v>75</v>
      </c>
      <c r="I8" s="241">
        <v>74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100</v>
      </c>
      <c r="E9" s="241">
        <v>100</v>
      </c>
      <c r="F9" s="241">
        <v>90</v>
      </c>
      <c r="G9" s="241">
        <v>71</v>
      </c>
      <c r="H9" s="241">
        <v>75</v>
      </c>
      <c r="I9" s="241">
        <v>71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250</v>
      </c>
      <c r="D10" s="241">
        <v>100</v>
      </c>
      <c r="E10" s="241">
        <v>100</v>
      </c>
      <c r="F10" s="241">
        <v>100</v>
      </c>
      <c r="G10" s="241">
        <v>75</v>
      </c>
      <c r="H10" s="241">
        <v>73</v>
      </c>
      <c r="I10" s="241">
        <v>75</v>
      </c>
      <c r="J10" s="241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300</v>
      </c>
      <c r="D11" s="241">
        <v>100</v>
      </c>
      <c r="E11" s="241">
        <v>100</v>
      </c>
      <c r="F11" s="241">
        <v>100</v>
      </c>
      <c r="G11" s="241">
        <v>74</v>
      </c>
      <c r="H11" s="241">
        <v>75</v>
      </c>
      <c r="I11" s="241">
        <v>75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100</v>
      </c>
      <c r="E12" s="245">
        <v>90</v>
      </c>
      <c r="F12" s="245">
        <v>90</v>
      </c>
      <c r="G12" s="241">
        <v>75</v>
      </c>
      <c r="H12" s="241">
        <v>75</v>
      </c>
      <c r="I12" s="241">
        <v>70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250</v>
      </c>
      <c r="D13" s="241">
        <v>100</v>
      </c>
      <c r="E13" s="245">
        <v>93</v>
      </c>
      <c r="F13" s="245">
        <v>93</v>
      </c>
      <c r="G13" s="241">
        <v>72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100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 t="shared" ref="C16:E16" si="0">IFERROR(AVERAGE(C4:C10),0)</f>
        <v>264.2857143</v>
      </c>
      <c r="D16" s="229">
        <f t="shared" si="0"/>
        <v>100</v>
      </c>
      <c r="E16" s="229">
        <f t="shared" si="0"/>
        <v>99.28571429</v>
      </c>
      <c r="F16" s="229">
        <f t="shared" ref="F16:K16" si="1">IFERROR(AVERAGE(F4:F15),0)</f>
        <v>96.18181818</v>
      </c>
      <c r="G16" s="229">
        <f t="shared" si="1"/>
        <v>74.27272727</v>
      </c>
      <c r="H16" s="229">
        <f t="shared" si="1"/>
        <v>74.36363636</v>
      </c>
      <c r="I16" s="229">
        <f t="shared" si="1"/>
        <v>72.72727273</v>
      </c>
      <c r="J16" s="229">
        <f t="shared" si="1"/>
        <v>75</v>
      </c>
      <c r="K16" s="210">
        <f t="shared" si="1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2">
        <v>295</v>
      </c>
      <c r="D4" s="242">
        <v>100</v>
      </c>
      <c r="E4" s="243">
        <v>95</v>
      </c>
      <c r="F4" s="243">
        <v>95</v>
      </c>
      <c r="G4" s="242">
        <v>75</v>
      </c>
      <c r="H4" s="242">
        <v>75</v>
      </c>
      <c r="I4" s="242">
        <v>75</v>
      </c>
      <c r="J4" s="242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250</v>
      </c>
      <c r="D5" s="241">
        <v>100</v>
      </c>
      <c r="E5" s="245">
        <v>100</v>
      </c>
      <c r="F5" s="245">
        <v>100</v>
      </c>
      <c r="G5" s="241">
        <v>75</v>
      </c>
      <c r="H5" s="241">
        <v>75</v>
      </c>
      <c r="I5" s="241">
        <v>75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250</v>
      </c>
      <c r="D6" s="241">
        <v>100</v>
      </c>
      <c r="E6" s="245">
        <v>100</v>
      </c>
      <c r="F6" s="245">
        <v>100</v>
      </c>
      <c r="G6" s="241">
        <v>75</v>
      </c>
      <c r="H6" s="241">
        <v>75</v>
      </c>
      <c r="I6" s="241">
        <v>75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250</v>
      </c>
      <c r="D7" s="241">
        <v>100</v>
      </c>
      <c r="E7" s="241">
        <v>100</v>
      </c>
      <c r="F7" s="241">
        <v>90</v>
      </c>
      <c r="G7" s="241">
        <v>75</v>
      </c>
      <c r="H7" s="241">
        <v>75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300</v>
      </c>
      <c r="D8" s="241">
        <v>100</v>
      </c>
      <c r="E8" s="241">
        <v>95</v>
      </c>
      <c r="F8" s="241">
        <v>100</v>
      </c>
      <c r="G8" s="241">
        <v>70</v>
      </c>
      <c r="H8" s="241">
        <v>75</v>
      </c>
      <c r="I8" s="241">
        <v>75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100</v>
      </c>
      <c r="E9" s="241">
        <v>92</v>
      </c>
      <c r="F9" s="241">
        <v>90</v>
      </c>
      <c r="G9" s="241">
        <v>70</v>
      </c>
      <c r="H9" s="241">
        <v>75</v>
      </c>
      <c r="I9" s="241">
        <v>75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250</v>
      </c>
      <c r="D10" s="241">
        <v>100</v>
      </c>
      <c r="E10" s="241">
        <v>100</v>
      </c>
      <c r="F10" s="241">
        <v>100</v>
      </c>
      <c r="G10" s="241">
        <v>70</v>
      </c>
      <c r="H10" s="241">
        <v>75</v>
      </c>
      <c r="I10" s="241">
        <v>75</v>
      </c>
      <c r="J10" s="241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300</v>
      </c>
      <c r="D11" s="241">
        <v>100</v>
      </c>
      <c r="E11" s="241">
        <v>100</v>
      </c>
      <c r="F11" s="241">
        <v>100</v>
      </c>
      <c r="G11" s="241">
        <v>75</v>
      </c>
      <c r="H11" s="241">
        <v>75</v>
      </c>
      <c r="I11" s="241">
        <v>75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100</v>
      </c>
      <c r="E12" s="245">
        <v>90</v>
      </c>
      <c r="F12" s="245">
        <v>90</v>
      </c>
      <c r="G12" s="241">
        <v>75</v>
      </c>
      <c r="H12" s="241">
        <v>75</v>
      </c>
      <c r="I12" s="241">
        <v>75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250</v>
      </c>
      <c r="D13" s="241">
        <v>100</v>
      </c>
      <c r="E13" s="245">
        <v>93</v>
      </c>
      <c r="F13" s="245">
        <v>93</v>
      </c>
      <c r="G13" s="241">
        <v>75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100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 t="shared" ref="C16:E16" si="0">IFERROR(AVERAGE(C4:C10),0)</f>
        <v>263.5714286</v>
      </c>
      <c r="D16" s="229">
        <f t="shared" si="0"/>
        <v>100</v>
      </c>
      <c r="E16" s="229">
        <f t="shared" si="0"/>
        <v>97.42857143</v>
      </c>
      <c r="F16" s="229">
        <f t="shared" ref="F16:K16" si="1">IFERROR(AVERAGE(F4:F15),0)</f>
        <v>96.18181818</v>
      </c>
      <c r="G16" s="229">
        <f t="shared" si="1"/>
        <v>73.63636364</v>
      </c>
      <c r="H16" s="229">
        <f t="shared" si="1"/>
        <v>75</v>
      </c>
      <c r="I16" s="229">
        <f t="shared" si="1"/>
        <v>75</v>
      </c>
      <c r="J16" s="229">
        <f t="shared" si="1"/>
        <v>75</v>
      </c>
      <c r="K16" s="210">
        <f t="shared" si="1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0" summaryRight="0"/>
  </sheetPr>
  <dimension ref="A1:J1000"/>
  <sheetViews>
    <sheetView workbookViewId="0" rightToLeft="1" showGridLines="0" zoomScale="100" zoomScaleNormal="100"/>
  </sheetViews>
  <sheetFormatPr defaultRowHeight="15" outlineLevelRow="0" outlineLevelCol="0" x14ac:dyDescent="0" defaultColWidth="12.63"/>
  <cols>
    <col min="1" max="1" width="3.5" customWidth="1"/>
    <col min="2" max="2" width="5.13" customWidth="1"/>
    <col min="3" max="3" width="31.63" customWidth="1"/>
    <col min="4" max="4" width="10.38" customWidth="1"/>
    <col min="5" max="5" width="10.5" customWidth="1"/>
    <col min="6" max="6" width="34.25" customWidth="1"/>
    <col min="7" max="7" width="38.38" customWidth="1"/>
    <col min="8" max="8" width="42" customWidth="1"/>
    <col min="9" max="9" width="23" customWidth="1"/>
    <col min="10" max="10" width="22" customWidth="1"/>
  </cols>
  <sheetData>
    <row r="1" ht="47.25" customHeight="1" spans="1:10" x14ac:dyDescent="0.25">
      <c r="A1" s="35"/>
      <c r="B1" s="36" t="s">
        <v>2</v>
      </c>
      <c r="C1"/>
      <c r="D1"/>
      <c r="E1" s="36" t="s">
        <v>3</v>
      </c>
      <c r="F1" s="37" t="s">
        <v>131</v>
      </c>
      <c r="G1" s="35"/>
      <c r="H1" s="35"/>
      <c r="I1" s="35"/>
      <c r="J1" s="35"/>
    </row>
    <row r="2" ht="24" customHeight="1" spans="1:10" x14ac:dyDescent="0.25">
      <c r="A2" s="38"/>
      <c r="B2" s="39" t="s">
        <v>5</v>
      </c>
      <c r="C2" s="39" t="s">
        <v>6</v>
      </c>
      <c r="D2" s="39" t="s">
        <v>7</v>
      </c>
      <c r="E2" s="39" t="s">
        <v>8</v>
      </c>
      <c r="F2" s="39" t="s">
        <v>9</v>
      </c>
      <c r="G2" s="40" t="s">
        <v>10</v>
      </c>
      <c r="H2" s="41"/>
      <c r="I2" s="39" t="s">
        <v>11</v>
      </c>
      <c r="J2" s="39" t="s">
        <v>12</v>
      </c>
    </row>
    <row r="3" ht="28.5" customHeight="1" spans="1:10" x14ac:dyDescent="0.25">
      <c r="A3" s="42"/>
      <c r="B3" s="43">
        <v>1</v>
      </c>
      <c r="C3" s="44" t="str">
        <f>'بيان النتائج'!P2</f>
        <v>البناية الجديدة ط. 3</v>
      </c>
      <c r="D3" s="43">
        <f>IFERROR(__xludf.DUMMYFUNCTION("IFERROR(FILTER('بيان النتائج'!$L$2:$M$10,'بيان النتائج'!$O$2:$O$10=""أحسن الغرف""))"),9.0)</f>
        <v>9</v>
      </c>
      <c r="E3" s="45">
        <f>IFERROR(__xludf.DUMMYFUNCTION("""COMPUTED_VALUE"""),774.1666666666666)</f>
        <v>774.1666667</v>
      </c>
      <c r="F3" s="43" t="str">
        <f>IFERROR(__xludf.DUMMYFUNCTION("IFERROR(FILTER('بيان النتائج'!$Q$2:$U$10,'بيان النتائج'!$O$2:$O$10=""أحسن الغرف""))"),"الأستاذ حنيفنشة")</f>
        <v>الأستاذ حنيفنشة</v>
      </c>
      <c r="G3" s="46" t="str">
        <f>IFERROR(__xludf.DUMMYFUNCTION("""COMPUTED_VALUE"""),"المتخصص أحمد سيف الدين")</f>
        <v>المتخصص أحمد سيف الدين</v>
      </c>
      <c r="H3" s="46" t="str">
        <f>IFERROR(__xludf.DUMMYFUNCTION("""COMPUTED_VALUE"""),"المتخصص مصطفى حلمي رشيد")</f>
        <v>المتخصص مصطفى حلمي رشيد</v>
      </c>
      <c r="I3" s="46" t="str">
        <f>IFERROR(__xludf.DUMMYFUNCTION("""COMPUTED_VALUE"""),"رابط أحسن")</f>
        <v>رابط أحسن</v>
      </c>
      <c r="J3" s="46" t="str">
        <f>IFERROR(__xludf.DUMMYFUNCTION("""COMPUTED_VALUE"""),"سلطان عبد الغني")</f>
        <v>سلطان عبد الغني</v>
      </c>
    </row>
    <row r="4" ht="28.5" customHeight="1" spans="1:10" x14ac:dyDescent="0.25">
      <c r="A4" s="42"/>
      <c r="B4" s="43">
        <v>2</v>
      </c>
      <c r="C4" s="44" t="str">
        <f>'بيان النتائج'!P11</f>
        <v>البناية الجديدة ط. 2</v>
      </c>
      <c r="D4" s="43">
        <f>IFERROR(__xludf.DUMMYFUNCTION("IFERROR(FILTER('بيان النتائج'!$L$11:$M$17,'بيان النتائج'!$O$11:$O$17=""أحسن الغرف""))"),10.0)</f>
        <v>10</v>
      </c>
      <c r="E4" s="45">
        <f>IFERROR(__xludf.DUMMYFUNCTION("""COMPUTED_VALUE"""),703.5)</f>
        <v>703.5</v>
      </c>
      <c r="F4" s="46" t="str">
        <f>IFERROR(__xludf.DUMMYFUNCTION("IFERROR(filter('بيان النتائج'!$Q$11:$U$17,'بيان النتائج'!$O$11:$O$17=""أحسن الغرف""))"),"الأستاذ أقوس")</f>
        <v>الأستاذ أقوس</v>
      </c>
      <c r="G4" s="46" t="str">
        <f>IFERROR(__xludf.DUMMYFUNCTION("""COMPUTED_VALUE"""),"المتخصص أحمد شيد الله")</f>
        <v>المتخصص أحمد شيد الله</v>
      </c>
      <c r="H4" s="46" t="str">
        <f>IFERROR(__xludf.DUMMYFUNCTION("""COMPUTED_VALUE"""),"المتخصص فخاريان أرزكي")</f>
        <v>المتخصص فخاريان أرزكي</v>
      </c>
      <c r="I4" s="46" t="str">
        <f>IFERROR(__xludf.DUMMYFUNCTION("""COMPUTED_VALUE"""),"محمد مذكر فهمي")</f>
        <v>محمد مذكر فهمي</v>
      </c>
      <c r="J4" s="46" t="str">
        <f>IFERROR(__xludf.DUMMYFUNCTION("""COMPUTED_VALUE"""),"محمد ضياء الحق")</f>
        <v>محمد ضياء الحق</v>
      </c>
    </row>
    <row r="5" ht="28.5" customHeight="1" spans="1:10" x14ac:dyDescent="0.25">
      <c r="A5" s="42"/>
      <c r="B5" s="43">
        <v>3</v>
      </c>
      <c r="C5" s="44" t="str">
        <f>'بيان النتائج'!P18</f>
        <v>الجامعة ط. 1</v>
      </c>
      <c r="D5" s="43">
        <f>IFERROR(__xludf.DUMMYFUNCTION("IFERROR(FILTER('بيان النتائج'!$L$18:$M$23,'بيان النتائج'!$O$18:$O$23=""أحسن الغرف""))"),18.0)</f>
        <v>18</v>
      </c>
      <c r="E5" s="45">
        <f>IFERROR(__xludf.DUMMYFUNCTION("""COMPUTED_VALUE"""),843.3333333333334)</f>
        <v>843.3333333</v>
      </c>
      <c r="F5" s="46" t="str">
        <f>IFERROR(__xludf.DUMMYFUNCTION("IFERROR(filter('بيان النتائج'!$Q$18:$U$23,'بيان النتائج'!$O$18:$O$23=""أحسن الغرف""))"),"الأستاذ راحبيني")</f>
        <v>الأستاذ راحبيني</v>
      </c>
      <c r="G5" s="46" t="str">
        <f>IFERROR(__xludf.DUMMYFUNCTION("""COMPUTED_VALUE"""),"المتخصص رحمة أغوس فينو فراتما")</f>
        <v>المتخصص رحمة أغوس فينو فراتما</v>
      </c>
      <c r="H5" s="46" t="str">
        <f>IFERROR(__xludf.DUMMYFUNCTION("""COMPUTED_VALUE"""),"المتخصص أحمد إسعاف الإيمان")</f>
        <v>المتخصص أحمد إسعاف الإيمان</v>
      </c>
      <c r="I5" s="46" t="str">
        <f>IFERROR(__xludf.DUMMYFUNCTION("""COMPUTED_VALUE"""),"كيّس أحمد أ.")</f>
        <v>كيّس أحمد أ.</v>
      </c>
      <c r="J5" s="46" t="str">
        <f>IFERROR(__xludf.DUMMYFUNCTION("""COMPUTED_VALUE"""),"نَزاريل")</f>
        <v>نَزاريل</v>
      </c>
    </row>
    <row r="6" ht="28.5" customHeight="1" spans="1:10" x14ac:dyDescent="0.25">
      <c r="A6" s="42"/>
      <c r="B6" s="43">
        <v>4</v>
      </c>
      <c r="C6" s="44" t="str">
        <f>'بيان النتائج'!P24</f>
        <v>الجامعة ط. 2</v>
      </c>
      <c r="D6" s="43">
        <f>IFERROR(__xludf.DUMMYFUNCTION("IFERROR(FILTER('بيان النتائج'!$L$24:$M$29,'بيان النتائج'!$O$24:$O$29=""أحسن الغرف""))"),28.0)</f>
        <v>28</v>
      </c>
      <c r="E6" s="45">
        <f>IFERROR(__xludf.DUMMYFUNCTION("""COMPUTED_VALUE"""),800.4999999999999)</f>
        <v>800.5</v>
      </c>
      <c r="F6" s="46" t="str">
        <f>IFERROR(__xludf.DUMMYFUNCTION("iferror(FILTER('بيان النتائج'!$Q$24:$U$29,'بيان النتائج'!$O$24:$O$29=""أحسن الغرف""))"),"الأستاذ عبد الحليم")</f>
        <v>الأستاذ عبد الحليم</v>
      </c>
      <c r="G6" s="46" t="str">
        <f>IFERROR(__xludf.DUMMYFUNCTION("""COMPUTED_VALUE"""),"المتخصص ريان فؤادي")</f>
        <v>المتخصص ريان فؤادي</v>
      </c>
      <c r="H6" s="46" t="str">
        <f>IFERROR(__xludf.DUMMYFUNCTION("""COMPUTED_VALUE"""),"المتخصص نوفل حمدي رشيد")</f>
        <v>المتخصص نوفل حمدي رشيد</v>
      </c>
      <c r="I6" s="46" t="str">
        <f>IFERROR(__xludf.DUMMYFUNCTION("""COMPUTED_VALUE"""),"أحمد فوزان زكي")</f>
        <v>أحمد فوزان زكي</v>
      </c>
      <c r="J6" s="46" t="str">
        <f>IFERROR(__xludf.DUMMYFUNCTION("""COMPUTED_VALUE"""),"فكري أولياء إلهامي")</f>
        <v>فكري أولياء إلهامي</v>
      </c>
    </row>
    <row r="7" ht="28.5" customHeight="1" spans="1:10" x14ac:dyDescent="0.25">
      <c r="A7" s="42"/>
      <c r="B7" s="43">
        <v>5</v>
      </c>
      <c r="C7" s="44" t="str">
        <f>'بيان النتائج'!P30</f>
        <v>الجامعة ط. 3</v>
      </c>
      <c r="D7" s="43">
        <f>IFERROR(__xludf.DUMMYFUNCTION("IFERROR(FILTER('بيان النتائج'!$L$30:$M$36,'بيان النتائج'!$O$30:$O$36=""أحسن الغرف""))"),35.0)</f>
        <v>35</v>
      </c>
      <c r="E7" s="45">
        <f>IFERROR(__xludf.DUMMYFUNCTION("""COMPUTED_VALUE"""),862.6103896103896)</f>
        <v>862.6103896</v>
      </c>
      <c r="F7" s="46" t="str">
        <f>IFERROR(__xludf.DUMMYFUNCTION("iferror(FILTER('بيان النتائج'!$Q$30:$U$36,'بيان النتائج'!$O$30:$O$36=""أحسن الغرف""))"),"الأستاذ رسلي")</f>
        <v>الأستاذ رسلي</v>
      </c>
      <c r="G7" s="46" t="str">
        <f>IFERROR(__xludf.DUMMYFUNCTION("""COMPUTED_VALUE"""),"المتخصص محمد فضيلة أكبر")</f>
        <v>المتخصص محمد فضيلة أكبر</v>
      </c>
      <c r="H7" s="46" t="str">
        <f>IFERROR(__xludf.DUMMYFUNCTION("""COMPUTED_VALUE"""),"المتخصص لطفي لقمان شة")</f>
        <v>المتخصص لطفي لقمان شة</v>
      </c>
      <c r="I7" s="46" t="str">
        <f>IFERROR(__xludf.DUMMYFUNCTION("""COMPUTED_VALUE"""),"محمد رفقي")</f>
        <v>محمد رفقي</v>
      </c>
      <c r="J7" s="46" t="str">
        <f>IFERROR(__xludf.DUMMYFUNCTION("""COMPUTED_VALUE"""),"ديكا سافوترا")</f>
        <v>ديكا سافوترا</v>
      </c>
    </row>
    <row r="8" ht="28.5" customHeight="1" spans="1:10" x14ac:dyDescent="0.25">
      <c r="A8" s="42"/>
      <c r="B8" s="43">
        <v>6</v>
      </c>
      <c r="C8" s="47" t="s">
        <v>132</v>
      </c>
      <c r="D8" s="43">
        <f>IFERROR(__xludf.DUMMYFUNCTION("IFERROR(FILTER('بيان النتائج'!$L$59:$M$66,'بيان النتائج'!$O$59:$O$66=""أحسن الغرف""))"),64.0)</f>
        <v>64</v>
      </c>
      <c r="E8" s="45">
        <f>IFERROR(__xludf.DUMMYFUNCTION("""COMPUTED_VALUE"""),820.9999999999999)</f>
        <v>821</v>
      </c>
      <c r="F8" s="46" t="str">
        <f>IFERROR(__xludf.DUMMYFUNCTION("iferror(FILTER('بيان النتائج'!$Q$59:$U$66,'بيان النتائج'!$O$59:$O$66=""أحسن الغرف""))"),"الأستاذ فرحان - جاكارتا")</f>
        <v>الأستاذ فرحان - جاكارتا</v>
      </c>
      <c r="G8" s="46" t="str">
        <f>IFERROR(__xludf.DUMMYFUNCTION("""COMPUTED_VALUE"""),"المتخصص عبد الله حسين علي")</f>
        <v>المتخصص عبد الله حسين علي</v>
      </c>
      <c r="H8" s="46" t="str">
        <f>IFERROR(__xludf.DUMMYFUNCTION("""COMPUTED_VALUE"""),"المتخصص فرحان هداية الله")</f>
        <v>المتخصص فرحان هداية الله</v>
      </c>
      <c r="I8" s="46" t="str">
        <f>IFERROR(__xludf.DUMMYFUNCTION("""COMPUTED_VALUE"""),"محمد بن شعراني")</f>
        <v>محمد بن شعراني</v>
      </c>
      <c r="J8" s="46" t="str">
        <f>IFERROR(__xludf.DUMMYFUNCTION("""COMPUTED_VALUE"""),"إسكندر ذو القرنين")</f>
        <v>إسكندر ذو القرنين</v>
      </c>
    </row>
    <row r="9" ht="28.5" customHeight="1" spans="1:10" x14ac:dyDescent="0.25">
      <c r="A9" s="42"/>
      <c r="B9" s="43">
        <v>7</v>
      </c>
      <c r="C9" s="44" t="str">
        <f>'بيان النتائج'!P37</f>
        <v>دار الأيتام ط. 1</v>
      </c>
      <c r="D9" s="43">
        <f>IFERROR(__xludf.DUMMYFUNCTION("IFERROR(FILTER('بيان النتائج'!$L$37:$M$41,'بيان النتائج'!$O$37:$O$41=""أحسن الغرف""))"),41.0)</f>
        <v>41</v>
      </c>
      <c r="E9" s="45">
        <f>IFERROR(__xludf.DUMMYFUNCTION("""COMPUTED_VALUE"""),579.090909090909)</f>
        <v>579.0909091</v>
      </c>
      <c r="F9" s="46" t="str">
        <f>IFERROR(__xludf.DUMMYFUNCTION("iferror(FILTER('بيان النتائج'!$Q$37:$U$41,'بيان النتائج'!$O$37:$O$41=""أحسن الغرف""))"),"الأستاذ حسين بن أبي بكر السقّاف")</f>
        <v>الأستاذ حسين بن أبي بكر السقّاف</v>
      </c>
      <c r="G9" s="46" t="str">
        <f>IFERROR(__xludf.DUMMYFUNCTION("""COMPUTED_VALUE"""),"المتخصص أحمد زفان الحكم")</f>
        <v>المتخصص أحمد زفان الحكم</v>
      </c>
      <c r="H9" s="46" t="str">
        <f>IFERROR(__xludf.DUMMYFUNCTION("""COMPUTED_VALUE"""),"المتخصص مصطفى لطفي")</f>
        <v>المتخصص مصطفى لطفي</v>
      </c>
      <c r="I9" s="46" t="str">
        <f>IFERROR(__xludf.DUMMYFUNCTION("""COMPUTED_VALUE"""),"ذكري")</f>
        <v>ذكري</v>
      </c>
      <c r="J9" s="46" t="str">
        <f>IFERROR(__xludf.DUMMYFUNCTION("""COMPUTED_VALUE"""),"عبد الرحمن")</f>
        <v>عبد الرحمن</v>
      </c>
    </row>
    <row r="10" ht="28.5" customHeight="1" spans="1:10" x14ac:dyDescent="0.25">
      <c r="A10" s="42"/>
      <c r="B10" s="43">
        <v>8</v>
      </c>
      <c r="C10" s="44" t="str">
        <f>'بيان النتائج'!P43</f>
        <v>دار الأيتام ط. 2</v>
      </c>
      <c r="D10" s="43">
        <f>IFERROR(__xludf.DUMMYFUNCTION("IFERROR(FILTER('بيان النتائج'!$L$43:$M$50,'بيان النتائج'!$O$43:$O$50=""أحسن الغرف""))"),50.0)</f>
        <v>50</v>
      </c>
      <c r="E10" s="45">
        <f>IFERROR(__xludf.DUMMYFUNCTION("""COMPUTED_VALUE"""),717.5)</f>
        <v>717.5</v>
      </c>
      <c r="F10" s="46" t="str">
        <f>IFERROR(__xludf.DUMMYFUNCTION("iferror(FILTER('بيان النتائج'!$Q$43:$U$50,'بيان النتائج'!$O$43:$O$50=""أحسن الغرف""))"),"الأستاذ عبد الرحمن صالح")</f>
        <v>الأستاذ عبد الرحمن صالح</v>
      </c>
      <c r="G10" s="46" t="str">
        <f>IFERROR(__xludf.DUMMYFUNCTION("""COMPUTED_VALUE"""),"المتخصص ابن بنّا")</f>
        <v>المتخصص ابن بنّا</v>
      </c>
      <c r="H10" s="46" t="str">
        <f>IFERROR(__xludf.DUMMYFUNCTION("""COMPUTED_VALUE"""),"المتخصص عبد الله زاهر")</f>
        <v>المتخصص عبد الله زاهر</v>
      </c>
      <c r="I10" s="46" t="str">
        <f>IFERROR(__xludf.DUMMYFUNCTION("""COMPUTED_VALUE"""),"زاهر العطاس")</f>
        <v>زاهر العطاس</v>
      </c>
      <c r="J10" s="46" t="str">
        <f>IFERROR(__xludf.DUMMYFUNCTION("""COMPUTED_VALUE"""),"زيدان")</f>
        <v>زيدان</v>
      </c>
    </row>
    <row r="11" ht="28.5" customHeight="1" spans="1:10" x14ac:dyDescent="0.25">
      <c r="A11" s="42"/>
      <c r="B11" s="43">
        <v>9</v>
      </c>
      <c r="C11" s="44" t="str">
        <f>'بيان النتائج'!P51</f>
        <v>دار الأيتام ط. 3</v>
      </c>
      <c r="D11" s="43">
        <f>IFERROR(__xludf.DUMMYFUNCTION("IFERROR(FILTER('بيان النتائج'!$L$51:$M$58,'بيان النتائج'!$O$51:$O$58=""أحسن الغرف""))"),59.0)</f>
        <v>59</v>
      </c>
      <c r="E11" s="45">
        <f>IFERROR(__xludf.DUMMYFUNCTION("""COMPUTED_VALUE"""),608.3333333333333)</f>
        <v>608.3333333</v>
      </c>
      <c r="F11" s="48" t="str">
        <f>IFERROR(__xludf.DUMMYFUNCTION("iferror(FILTER('بيان النتائج'!$Q$51:$U$58,'بيان النتائج'!$O$51:$O$58=""أحسن الغرف""))"),"الأستاذ مؤمنين")</f>
        <v>الأستاذ مؤمنين</v>
      </c>
      <c r="G11" s="46" t="str">
        <f>IFERROR(__xludf.DUMMYFUNCTION("""COMPUTED_VALUE"""),"المتخصص فائز السقاف")</f>
        <v>المتخصص فائز السقاف</v>
      </c>
      <c r="H11" s="46" t="str">
        <f>IFERROR(__xludf.DUMMYFUNCTION("""COMPUTED_VALUE"""),"المتخصص خير الهدى")</f>
        <v>المتخصص خير الهدى</v>
      </c>
      <c r="I11" s="46" t="str">
        <f>IFERROR(__xludf.DUMMYFUNCTION("""COMPUTED_VALUE"""),"فؤاد")</f>
        <v>فؤاد</v>
      </c>
      <c r="J11" s="46" t="str">
        <f>IFERROR(__xludf.DUMMYFUNCTION("""COMPUTED_VALUE"""),"محمودين")</f>
        <v>محمودين</v>
      </c>
    </row>
    <row r="12" ht="28.5" customHeight="1" spans="1:10" x14ac:dyDescent="0.25">
      <c r="A12" s="42"/>
      <c r="B12" s="43">
        <v>10</v>
      </c>
      <c r="C12" s="44" t="str">
        <f>'بيان النتائج'!P67</f>
        <v>دلوى 4 الغربي</v>
      </c>
      <c r="D12" s="43">
        <f>IFERROR(__xludf.DUMMYFUNCTION("IFERROR(FILTER('بيان النتائج'!$L$67:$M$75,'بيان النتائج'!$O$67:$O$75=""أحسن الغرف""))"),8.0)</f>
        <v>8</v>
      </c>
      <c r="E12" s="45">
        <f>IFERROR(__xludf.DUMMYFUNCTION("""COMPUTED_VALUE"""),749.0)</f>
        <v>749</v>
      </c>
      <c r="F12" s="46" t="str">
        <f>IFERROR(__xludf.DUMMYFUNCTION("iferror(FILTER('بيان النتائج'!$Q$67:$U$75,'بيان النتائج'!$O$67:$O$75=""أحسن الغرف""))"),"الأستاذ فاضل - جمبر")</f>
        <v>الأستاذ فاضل - جمبر</v>
      </c>
      <c r="G12" s="46" t="str">
        <f>IFERROR(__xludf.DUMMYFUNCTION("""COMPUTED_VALUE"""),"المتخصص محمد الشريف الحدّاد")</f>
        <v>المتخصص محمد الشريف الحدّاد</v>
      </c>
      <c r="H12" s="46" t="str">
        <f>IFERROR(__xludf.DUMMYFUNCTION("""COMPUTED_VALUE"""),"المتخصص شريف هداية الله")</f>
        <v>المتخصص شريف هداية الله</v>
      </c>
      <c r="I12" s="46" t="str">
        <f>IFERROR(__xludf.DUMMYFUNCTION("""COMPUTED_VALUE"""),"سراج الأمم")</f>
        <v>سراج الأمم</v>
      </c>
      <c r="J12" s="46" t="str">
        <f>IFERROR(__xludf.DUMMYFUNCTION("""COMPUTED_VALUE"""),"فيكو إسا سانتيكا")</f>
        <v>فيكو إسا سانتيكا</v>
      </c>
    </row>
    <row r="13" ht="28.5" customHeight="1" spans="1:10" x14ac:dyDescent="0.25">
      <c r="A13" s="42"/>
      <c r="B13" s="43">
        <v>11</v>
      </c>
      <c r="C13" s="44" t="str">
        <f>'بيان النتائج'!P76</f>
        <v>دلوى 4 الشرقي</v>
      </c>
      <c r="D13" s="43">
        <f>IFERROR(__xludf.DUMMYFUNCTION("IFERROR(FILTER('بيان النتائج'!$L$76:$M$84,'بيان النتائج'!$O$76:$O$84=""أحسن الغرف""))"),13.0)</f>
        <v>13</v>
      </c>
      <c r="E13" s="45">
        <f>IFERROR(__xludf.DUMMYFUNCTION("""COMPUTED_VALUE"""),740.0)</f>
        <v>740</v>
      </c>
      <c r="F13" s="46" t="str">
        <f>IFERROR(__xludf.DUMMYFUNCTION("iferror(FILTER('بيان النتائج'!$Q$76:$U$84,'بيان النتائج'!$O$76:$O$84=""أحسن الغرف""))"),"الأستاذ نظيف - غراتي")</f>
        <v>الأستاذ نظيف - غراتي</v>
      </c>
      <c r="G13" s="46" t="str">
        <f>IFERROR(__xludf.DUMMYFUNCTION("""COMPUTED_VALUE"""),"المتخصص محمد حسن")</f>
        <v>المتخصص محمد حسن</v>
      </c>
      <c r="H13" s="46" t="str">
        <f>IFERROR(__xludf.DUMMYFUNCTION("""COMPUTED_VALUE"""),"المتخصص محمد رزلدي")</f>
        <v>المتخصص محمد رزلدي</v>
      </c>
      <c r="I13" s="46" t="str">
        <f>IFERROR(__xludf.DUMMYFUNCTION("""COMPUTED_VALUE"""),"زكي سيف الله")</f>
        <v>زكي سيف الله</v>
      </c>
      <c r="J13" s="46" t="str">
        <f>IFERROR(__xludf.DUMMYFUNCTION("""COMPUTED_VALUE"""),"محمد سيف البحر")</f>
        <v>محمد سيف البحر</v>
      </c>
    </row>
    <row r="14" ht="27" customHeight="1" spans="1:10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</row>
    <row r="15" ht="48.75" customHeight="1" spans="1:10" x14ac:dyDescent="0.25">
      <c r="A15" s="35"/>
      <c r="B15" s="36" t="s">
        <v>133</v>
      </c>
      <c r="C15"/>
      <c r="D15"/>
      <c r="E15" s="36" t="s">
        <v>3</v>
      </c>
      <c r="F15" s="50" t="s">
        <v>131</v>
      </c>
      <c r="G15" s="35"/>
      <c r="H15" s="35"/>
      <c r="I15" s="35"/>
      <c r="J15" s="35"/>
    </row>
    <row r="16" ht="24" customHeight="1" spans="1:10" x14ac:dyDescent="0.25">
      <c r="A16" s="38"/>
      <c r="B16" s="51" t="s">
        <v>5</v>
      </c>
      <c r="C16" s="51" t="s">
        <v>6</v>
      </c>
      <c r="D16" s="51" t="s">
        <v>7</v>
      </c>
      <c r="E16" s="51" t="s">
        <v>8</v>
      </c>
      <c r="F16" s="51" t="s">
        <v>9</v>
      </c>
      <c r="G16" s="52" t="s">
        <v>10</v>
      </c>
      <c r="H16" s="41"/>
      <c r="I16" s="51" t="s">
        <v>11</v>
      </c>
      <c r="J16" s="51" t="s">
        <v>12</v>
      </c>
    </row>
    <row r="17" ht="28.5" customHeight="1" spans="1:10" x14ac:dyDescent="0.25">
      <c r="A17" s="42"/>
      <c r="B17" s="43">
        <v>1</v>
      </c>
      <c r="C17" s="44" t="str">
        <f t="shared" ref="C17:C27" si="0">C3</f>
        <v>البناية الجديدة ط. 3</v>
      </c>
      <c r="D17" s="43">
        <f>IFERROR(__xludf.DUMMYFUNCTION("iferror(FILTER('بيان النتائج'!$L$2:$M$10,'بيان النتائج'!$O$2:$O$10=""أدنى الغرف""))"),5.0)</f>
        <v>5</v>
      </c>
      <c r="E17" s="45">
        <f>IFERROR(__xludf.DUMMYFUNCTION("""COMPUTED_VALUE"""),645.0)</f>
        <v>645</v>
      </c>
      <c r="F17" s="43" t="str">
        <f>IFERROR(__xludf.DUMMYFUNCTION("iferror(FILTER('بيان النتائج'!$Q$2:$U$10,'بيان النتائج'!$O$2:$O$10=""أدنى الغرف""))"),"الأستاذ منوِّر عثمان")</f>
        <v>الأستاذ منوِّر عثمان</v>
      </c>
      <c r="G17" s="46" t="str">
        <f>IFERROR(__xludf.DUMMYFUNCTION("""COMPUTED_VALUE"""),"المتخصص أندي أحمد محمد مالك الله")</f>
        <v>المتخصص أندي أحمد محمد مالك الله</v>
      </c>
      <c r="H17" s="46" t="str">
        <f>IFERROR(__xludf.DUMMYFUNCTION("""COMPUTED_VALUE"""),"المتخصص أنوار شافعي")</f>
        <v>المتخصص أنوار شافعي</v>
      </c>
      <c r="I17" s="46" t="str">
        <f>IFERROR(__xludf.DUMMYFUNCTION("""COMPUTED_VALUE"""),"فقيه مفتي")</f>
        <v>فقيه مفتي</v>
      </c>
      <c r="J17" s="46" t="str">
        <f>IFERROR(__xludf.DUMMYFUNCTION("""COMPUTED_VALUE"""),"محمد مولانا")</f>
        <v>محمد مولانا</v>
      </c>
    </row>
    <row r="18" ht="28.5" customHeight="1" spans="1:10" x14ac:dyDescent="0.25">
      <c r="A18" s="42"/>
      <c r="B18" s="43">
        <v>2</v>
      </c>
      <c r="C18" s="44" t="str">
        <f t="shared" si="0"/>
        <v>البناية الجديدة ط. 2</v>
      </c>
      <c r="D18" s="43">
        <f>IFERROR(__xludf.DUMMYFUNCTION("iferror(FILTER('بيان النتائج'!$L$11:$M$17,'بيان النتائج'!$O$11:$O$17=""أدنى الغرف""))"),14.0)</f>
        <v>14</v>
      </c>
      <c r="E18" s="45">
        <f>IFERROR(__xludf.DUMMYFUNCTION("""COMPUTED_VALUE"""),498.5)</f>
        <v>498.5</v>
      </c>
      <c r="F18" s="46" t="str">
        <f>IFERROR(__xludf.DUMMYFUNCTION("iferror(filter('بيان النتائج'!$Q$11:$U$17,'بيان النتائج'!$O$11:$O$17=""أدنى الغرف""))"),"الأستاذ رضا - مدان")</f>
        <v>الأستاذ رضا - مدان</v>
      </c>
      <c r="G18" s="46" t="str">
        <f>IFERROR(__xludf.DUMMYFUNCTION("""COMPUTED_VALUE"""),"المتخصص محمد محمد إرشاد العباد")</f>
        <v>المتخصص محمد محمد إرشاد العباد</v>
      </c>
      <c r="H18" s="46" t="str">
        <f>IFERROR(__xludf.DUMMYFUNCTION("""COMPUTED_VALUE"""),"المتخصص حسن الرزاقي")</f>
        <v>المتخصص حسن الرزاقي</v>
      </c>
      <c r="I18" s="46" t="str">
        <f>IFERROR(__xludf.DUMMYFUNCTION("""COMPUTED_VALUE"""),"جعفر الحبشي")</f>
        <v>جعفر الحبشي</v>
      </c>
      <c r="J18" s="46" t="str">
        <f>IFERROR(__xludf.DUMMYFUNCTION("""COMPUTED_VALUE"""),"أدي الدين")</f>
        <v>أدي الدين</v>
      </c>
    </row>
    <row r="19" ht="28.5" customHeight="1" spans="1:10" x14ac:dyDescent="0.25">
      <c r="A19" s="42"/>
      <c r="B19" s="43">
        <v>3</v>
      </c>
      <c r="C19" s="44" t="str">
        <f t="shared" si="0"/>
        <v>الجامعة ط. 1</v>
      </c>
      <c r="D19" s="43">
        <f>IFERROR(__xludf.DUMMYFUNCTION("iferror(FILTER('بيان النتائج'!$L$18:$M$23,'بيان النتائج'!$O$18:$O$23=""أدنى الغرف""))"),19.0)</f>
        <v>19</v>
      </c>
      <c r="E19" s="45">
        <f>IFERROR(__xludf.DUMMYFUNCTION("""COMPUTED_VALUE"""),756.0000000000001)</f>
        <v>756</v>
      </c>
      <c r="F19" s="46" t="str">
        <f>IFERROR(__xludf.DUMMYFUNCTION("iferror(filter('بيان النتائج'!$Q$18:$U$23,'بيان النتائج'!$O$18:$O$23=""أدنى الغرف""))"),"الأستاذ وحي الدين")</f>
        <v>الأستاذ وحي الدين</v>
      </c>
      <c r="G19" s="46" t="str">
        <f>IFERROR(__xludf.DUMMYFUNCTION("""COMPUTED_VALUE"""),"المتخصص محمد أكبر")</f>
        <v>المتخصص محمد أكبر</v>
      </c>
      <c r="H19" s="46" t="str">
        <f>IFERROR(__xludf.DUMMYFUNCTION("""COMPUTED_VALUE"""),"المتخصص محمد إلهام رمضاني")</f>
        <v>المتخصص محمد إلهام رمضاني</v>
      </c>
      <c r="I19" s="46" t="str">
        <f>IFERROR(__xludf.DUMMYFUNCTION("""COMPUTED_VALUE"""),"رفعان")</f>
        <v>رفعان</v>
      </c>
      <c r="J19" s="46" t="str">
        <f>IFERROR(__xludf.DUMMYFUNCTION("""COMPUTED_VALUE"""),"أحمد زين")</f>
        <v>أحمد زين</v>
      </c>
    </row>
    <row r="20" ht="28.5" customHeight="1" spans="1:10" x14ac:dyDescent="0.25">
      <c r="A20" s="42"/>
      <c r="B20" s="43">
        <v>4</v>
      </c>
      <c r="C20" s="44" t="str">
        <f t="shared" si="0"/>
        <v>الجامعة ط. 2</v>
      </c>
      <c r="D20" s="43">
        <f>IFERROR(__xludf.DUMMYFUNCTION("iferror(FILTER('بيان النتائج'!$L$24:$M$29,'بيان النتائج'!$O$24:$O$29=""أدنى الغرف""))"),26.0)</f>
        <v>26</v>
      </c>
      <c r="E20" s="45">
        <f>IFERROR(__xludf.DUMMYFUNCTION("""COMPUTED_VALUE"""),467.41666666666663)</f>
        <v>467.4166667</v>
      </c>
      <c r="F20" s="46" t="str">
        <f>IFERROR(__xludf.DUMMYFUNCTION("iferror(FILTER('بيان النتائج'!$Q$24:$U$29,'بيان النتائج'!$O$24:$O$29=""أدنى الغرف""))"),"الأستاذ إحسان - بنجر")</f>
        <v>الأستاذ إحسان - بنجر</v>
      </c>
      <c r="G20" s="46" t="str">
        <f>IFERROR(__xludf.DUMMYFUNCTION("""COMPUTED_VALUE"""),"المتخصص عبد الحامد")</f>
        <v>المتخصص عبد الحامد</v>
      </c>
      <c r="H20" s="46" t="str">
        <f>IFERROR(__xludf.DUMMYFUNCTION("""COMPUTED_VALUE"""),"المتخصص لالؤ ألوان أردينانتا")</f>
        <v>المتخصص لالؤ ألوان أردينانتا</v>
      </c>
      <c r="I20" s="46" t="str">
        <f>IFERROR(__xludf.DUMMYFUNCTION("""COMPUTED_VALUE"""),"عبد الهادي")</f>
        <v>عبد الهادي</v>
      </c>
      <c r="J20" s="46" t="str">
        <f>IFERROR(__xludf.DUMMYFUNCTION("""COMPUTED_VALUE"""),"صفي الله")</f>
        <v>صفي الله</v>
      </c>
    </row>
    <row r="21" ht="28.5" customHeight="1" spans="1:10" x14ac:dyDescent="0.25">
      <c r="A21" s="42"/>
      <c r="B21" s="43">
        <v>5</v>
      </c>
      <c r="C21" s="44" t="str">
        <f t="shared" si="0"/>
        <v>الجامعة ط. 3</v>
      </c>
      <c r="D21" s="43">
        <f>IFERROR(__xludf.DUMMYFUNCTION("IFERROR(FILTER('بيان النتائج'!$L$30:$M$36,'بيان النتائج'!$O$30:$O$36=""أدنى الغرف""))"),30.0)</f>
        <v>30</v>
      </c>
      <c r="E21" s="45">
        <f>IFERROR(__xludf.DUMMYFUNCTION("""COMPUTED_VALUE"""),851.1818181818182)</f>
        <v>851.1818182</v>
      </c>
      <c r="F21" s="46" t="str">
        <f>IFERROR(__xludf.DUMMYFUNCTION("IFERROR(FILTER('بيان النتائج'!$Q$30:$U$36,'بيان النتائج'!$O$30:$O$36=""أدنى الغرف""))"),"الأستاذ فرحان بن شهاب")</f>
        <v>الأستاذ فرحان بن شهاب</v>
      </c>
      <c r="G21" s="46" t="str">
        <f>IFERROR(__xludf.DUMMYFUNCTION("""COMPUTED_VALUE"""),"المتخصص أحمد صبري")</f>
        <v>المتخصص أحمد صبري</v>
      </c>
      <c r="H21" s="46" t="str">
        <f>IFERROR(__xludf.DUMMYFUNCTION("""COMPUTED_VALUE"""),"المتخصص خليل الرحمن")</f>
        <v>المتخصص خليل الرحمن</v>
      </c>
      <c r="I21" s="46" t="str">
        <f>IFERROR(__xludf.DUMMYFUNCTION("""COMPUTED_VALUE"""),"ريحان صالحين")</f>
        <v>ريحان صالحين</v>
      </c>
      <c r="J21" s="46" t="str">
        <f>IFERROR(__xludf.DUMMYFUNCTION("""COMPUTED_VALUE"""),"محمد فقيه عُزَيْرين")</f>
        <v>محمد فقيه عُزَيْرين</v>
      </c>
    </row>
    <row r="22" ht="28.5" customHeight="1" spans="1:10" x14ac:dyDescent="0.25">
      <c r="A22" s="42"/>
      <c r="B22" s="43">
        <v>6</v>
      </c>
      <c r="C22" s="44" t="str">
        <f t="shared" si="0"/>
        <v>الجامعة ط. 4 و دار الأيتام ط. 4</v>
      </c>
      <c r="D22" s="43">
        <f>IFERROR(__xludf.DUMMYFUNCTION("iferror(FILTER('بيان النتائج'!$L$59:$M$66,'بيان النتائج'!$O$59:$O$66=""أدنى الغرف""))"),36.0)</f>
        <v>36</v>
      </c>
      <c r="E22" s="45">
        <f>IFERROR(__xludf.DUMMYFUNCTION("""COMPUTED_VALUE"""),630.0833333333333)</f>
        <v>630.0833333</v>
      </c>
      <c r="F22" s="46" t="str">
        <f>IFERROR(__xludf.DUMMYFUNCTION("iferror(FILTER('بيان النتائج'!$Q$59:$U$66,'بيان النتائج'!$O$59:$O$66=""أدنى الغرف""))"),"الأستاذ ريزا رحمن")</f>
        <v>الأستاذ ريزا رحمن</v>
      </c>
      <c r="G22" s="46" t="str">
        <f>IFERROR(__xludf.DUMMYFUNCTION("""COMPUTED_VALUE"""),"المتخصص محمد فجر البحري")</f>
        <v>المتخصص محمد فجر البحري</v>
      </c>
      <c r="H22" s="46" t="str">
        <f>IFERROR(__xludf.DUMMYFUNCTION("""COMPUTED_VALUE"""),"المتخصص عبد الرحمن فقيه")</f>
        <v>المتخصص عبد الرحمن فقيه</v>
      </c>
      <c r="I22" s="46" t="str">
        <f>IFERROR(__xludf.DUMMYFUNCTION("""COMPUTED_VALUE"""),"زكي هدايات")</f>
        <v>زكي هدايات</v>
      </c>
      <c r="J22" s="46" t="str">
        <f>IFERROR(__xludf.DUMMYFUNCTION("""COMPUTED_VALUE"""),"أحمد فاروق حسن")</f>
        <v>أحمد فاروق حسن</v>
      </c>
    </row>
    <row r="23" ht="28.5" customHeight="1" spans="1:10" x14ac:dyDescent="0.25">
      <c r="A23" s="42"/>
      <c r="B23" s="43">
        <v>7</v>
      </c>
      <c r="C23" s="44" t="str">
        <f t="shared" si="0"/>
        <v>دار الأيتام ط. 1</v>
      </c>
      <c r="D23" s="43">
        <f>IFERROR(__xludf.DUMMYFUNCTION("iferror(FILTER('بيان النتائج'!$L$37:$M$41,'بيان النتائج'!$O$37:$O$41=""أدنى الغرف""))"),43.0)</f>
        <v>43</v>
      </c>
      <c r="E23" s="45">
        <f>IFERROR(__xludf.DUMMYFUNCTION("""COMPUTED_VALUE"""),534.8295454545455)</f>
        <v>534.8295455</v>
      </c>
      <c r="F23" s="46" t="str">
        <f>IFERROR(__xludf.DUMMYFUNCTION("iferror(FILTER('بيان النتائج'!$Q$37:$U$41,'بيان النتائج'!$O$37:$O$41=""أدنى الغرف""))"),"الأستاذ عُرَيْضِي الحبشي")</f>
        <v>الأستاذ عُرَيْضِي الحبشي</v>
      </c>
      <c r="G23" s="46" t="str">
        <f>IFERROR(__xludf.DUMMYFUNCTION("""COMPUTED_VALUE"""),"المتخصص رفقية القوي البحر المنندار")</f>
        <v>المتخصص رفقية القوي البحر المنندار</v>
      </c>
      <c r="H23" s="46" t="str">
        <f>IFERROR(__xludf.DUMMYFUNCTION("""COMPUTED_VALUE"""),"المتخصص إكمال أبرار")</f>
        <v>المتخصص إكمال أبرار</v>
      </c>
      <c r="I23" s="46" t="str">
        <f>IFERROR(__xludf.DUMMYFUNCTION("""COMPUTED_VALUE"""),"يزيد شرعي")</f>
        <v>يزيد شرعي</v>
      </c>
      <c r="J23" s="46" t="str">
        <f>IFERROR(__xludf.DUMMYFUNCTION("""COMPUTED_VALUE"""),"محبوبي")</f>
        <v>محبوبي</v>
      </c>
    </row>
    <row r="24" ht="28.5" customHeight="1" spans="1:10" x14ac:dyDescent="0.25">
      <c r="A24" s="42"/>
      <c r="B24" s="43">
        <v>8</v>
      </c>
      <c r="C24" s="44" t="str">
        <f t="shared" si="0"/>
        <v>دار الأيتام ط. 2</v>
      </c>
      <c r="D24" s="43">
        <f>IFERROR(__xludf.DUMMYFUNCTION("iferror(FILTER('بيان النتائج'!$L$43:$M$50,'بيان النتائج'!$O$43:$O$50=""أدنى الغرف""))"),52.0)</f>
        <v>52</v>
      </c>
      <c r="E24" s="45">
        <f>IFERROR(__xludf.DUMMYFUNCTION("""COMPUTED_VALUE"""),653.3333333333333)</f>
        <v>653.3333333</v>
      </c>
      <c r="F24" s="46" t="str">
        <f>IFERROR(__xludf.DUMMYFUNCTION("iferror(FILTER('بيان النتائج'!$Q$43:$U$50,'بيان النتائج'!$O$43:$O$50=""أدنى الغرف""))"),"الأستاذ فهات راض")</f>
        <v>الأستاذ فهات راض</v>
      </c>
      <c r="G24" s="46" t="str">
        <f>IFERROR(__xludf.DUMMYFUNCTION("""COMPUTED_VALUE"""),"المتخصص ماس محمد مولانا إسحاق")</f>
        <v>المتخصص ماس محمد مولانا إسحاق</v>
      </c>
      <c r="H24" s="46" t="str">
        <f>IFERROR(__xludf.DUMMYFUNCTION("""COMPUTED_VALUE"""),"المتخصص أحمد وكيل الخير")</f>
        <v>المتخصص أحمد وكيل الخير</v>
      </c>
      <c r="I24" s="46" t="str">
        <f>IFERROR(__xludf.DUMMYFUNCTION("""COMPUTED_VALUE"""),"أشرف الأنام")</f>
        <v>أشرف الأنام</v>
      </c>
      <c r="J24" s="46" t="str">
        <f>IFERROR(__xludf.DUMMYFUNCTION("""COMPUTED_VALUE"""),"فائز الهيتمي")</f>
        <v>فائز الهيتمي</v>
      </c>
    </row>
    <row r="25" ht="28.5" customHeight="1" spans="1:10" x14ac:dyDescent="0.25">
      <c r="A25" s="42"/>
      <c r="B25" s="43">
        <v>9</v>
      </c>
      <c r="C25" s="44" t="str">
        <f t="shared" si="0"/>
        <v>دار الأيتام ط. 3</v>
      </c>
      <c r="D25" s="43">
        <f>IFERROR(__xludf.DUMMYFUNCTION("iferror(FILTER('بيان النتائج'!$L$51:$M$58,'بيان النتائج'!$O$51:$O$58=""أدنى الغرف""))"),56.0)</f>
        <v>56</v>
      </c>
      <c r="E25" s="45">
        <f>IFERROR(__xludf.DUMMYFUNCTION("""COMPUTED_VALUE"""),517.2222222222223)</f>
        <v>517.2222222</v>
      </c>
      <c r="F25" s="48" t="str">
        <f>IFERROR(__xludf.DUMMYFUNCTION("iferror(FILTER('بيان النتائج'!$Q$51:$U$58,'بيان النتائج'!$O$51:$O$58=""أدنى الغرف""))"),"الأستاذ حسن الحَسْني")</f>
        <v>الأستاذ حسن الحَسْني</v>
      </c>
      <c r="G25" s="46" t="str">
        <f>IFERROR(__xludf.DUMMYFUNCTION("""COMPUTED_VALUE"""),"المتخصص إبراهيم")</f>
        <v>المتخصص إبراهيم</v>
      </c>
      <c r="H25" s="46" t="str">
        <f>IFERROR(__xludf.DUMMYFUNCTION("""COMPUTED_VALUE"""),"-")</f>
        <v>-</v>
      </c>
      <c r="I25" s="46" t="str">
        <f>IFERROR(__xludf.DUMMYFUNCTION("""COMPUTED_VALUE"""),"محمد طاهر")</f>
        <v>محمد طاهر</v>
      </c>
      <c r="J25" s="46" t="str">
        <f>IFERROR(__xludf.DUMMYFUNCTION("""COMPUTED_VALUE"""),"محمد أريا زافر")</f>
        <v>محمد أريا زافر</v>
      </c>
    </row>
    <row r="26" ht="28.5" customHeight="1" spans="1:10" x14ac:dyDescent="0.25">
      <c r="A26" s="42"/>
      <c r="B26" s="43">
        <v>10</v>
      </c>
      <c r="C26" s="44" t="str">
        <f t="shared" si="0"/>
        <v>دلوى 4 الغربي</v>
      </c>
      <c r="D26" s="43">
        <f>IFERROR(__xludf.DUMMYFUNCTION("iferror(FILTER('بيان النتائج'!$L$67:$M$75,'بيان النتائج'!$O$67:$O$75=""أدنى الغرف""))"),7.0)</f>
        <v>7</v>
      </c>
      <c r="E26" s="45">
        <f>IFERROR(__xludf.DUMMYFUNCTION("""COMPUTED_VALUE"""),726.4)</f>
        <v>726.4</v>
      </c>
      <c r="F26" s="46" t="str">
        <f>IFERROR(__xludf.DUMMYFUNCTION("iferror(FILTER('بيان النتائج'!$Q$67:$U$75,'بيان النتائج'!$O$67:$O$75=""أدنى الغرف""))"),"الأستاذ قمر الدين")</f>
        <v>الأستاذ قمر الدين</v>
      </c>
      <c r="G26" s="46" t="str">
        <f>IFERROR(__xludf.DUMMYFUNCTION("""COMPUTED_VALUE"""),"المتخصص أبو بكر واثق")</f>
        <v>المتخصص أبو بكر واثق</v>
      </c>
      <c r="H26" s="46" t="str">
        <f>IFERROR(__xludf.DUMMYFUNCTION("""COMPUTED_VALUE"""),"المتخصص محمد إمام أزهاري")</f>
        <v>المتخصص محمد إمام أزهاري</v>
      </c>
      <c r="I26" s="46" t="str">
        <f>IFERROR(__xludf.DUMMYFUNCTION("""COMPUTED_VALUE"""),"إرحام إخفان")</f>
        <v>إرحام إخفان</v>
      </c>
      <c r="J26" s="46" t="str">
        <f>IFERROR(__xludf.DUMMYFUNCTION("""COMPUTED_VALUE"""),"محمد بحر الوفاء")</f>
        <v>محمد بحر الوفاء</v>
      </c>
    </row>
    <row r="27" ht="28.5" customHeight="1" spans="1:10" x14ac:dyDescent="0.25">
      <c r="A27" s="42"/>
      <c r="B27" s="43">
        <v>11</v>
      </c>
      <c r="C27" s="44" t="str">
        <f t="shared" si="0"/>
        <v>دلوى 4 الشرقي</v>
      </c>
      <c r="D27" s="43">
        <f>IFERROR(__xludf.DUMMYFUNCTION("iferror(FILTER('بيان النتائج'!$L$76:$M$84,'بيان النتائج'!$O$76:$O$84=""أدنى الغرف""))"),18.0)</f>
        <v>18</v>
      </c>
      <c r="E27" s="45">
        <f>IFERROR(__xludf.DUMMYFUNCTION("""COMPUTED_VALUE"""),720.0)</f>
        <v>720</v>
      </c>
      <c r="F27" s="46" t="str">
        <f>IFERROR(__xludf.DUMMYFUNCTION("iferror(FILTER('بيان النتائج'!$Q$76:$U$84,'بيان النتائج'!$O$76:$O$84=""أدنى الغرف""))"),"الأستاذ توفيق - فندأن")</f>
        <v>الأستاذ توفيق - فندأن</v>
      </c>
      <c r="G27" s="46" t="str">
        <f>IFERROR(__xludf.DUMMYFUNCTION("""COMPUTED_VALUE"""),"المتخصص محمد صالحين ياسين")</f>
        <v>المتخصص محمد صالحين ياسين</v>
      </c>
      <c r="H27" s="46" t="str">
        <f>IFERROR(__xludf.DUMMYFUNCTION("""COMPUTED_VALUE"""),"المتخصص شريف الحداد")</f>
        <v>المتخصص شريف الحداد</v>
      </c>
      <c r="I27" s="46" t="str">
        <f>IFERROR(__xludf.DUMMYFUNCTION("""COMPUTED_VALUE"""),"محمد رحمة درماوان")</f>
        <v>محمد رحمة درماوان</v>
      </c>
      <c r="J27" s="46" t="str">
        <f>IFERROR(__xludf.DUMMYFUNCTION("""COMPUTED_VALUE"""),"خير الذكرِ")</f>
        <v>خير الذكرِ</v>
      </c>
    </row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4">
    <mergeCell ref="B1:D1"/>
    <mergeCell ref="G2:H2"/>
    <mergeCell ref="B15:D15"/>
    <mergeCell ref="G16:H16"/>
  </mergeCells>
  <printOptions gridLines="1" horizontalCentered="1"/>
  <pageMargins left="0.7" right="0.7" top="0.75" bottom="0.75" header="0" footer="0"/>
  <pageSetup paperSize="9" orientation="landscape" horizontalDpi="4294967295" verticalDpi="4294967295" pageOrder="overThenDown" cellComments="atEnd" scale="100" fitToWidth="1" fitToHeight="0" firstPageNumber="1" useFirstPageNumber="1" copies="1"/>
  <legacy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1">
        <v>250</v>
      </c>
      <c r="D4" s="242">
        <v>100</v>
      </c>
      <c r="E4" s="243">
        <v>95</v>
      </c>
      <c r="F4" s="243">
        <v>95</v>
      </c>
      <c r="G4" s="242">
        <v>75</v>
      </c>
      <c r="H4" s="242">
        <v>75</v>
      </c>
      <c r="I4" s="242">
        <v>75</v>
      </c>
      <c r="J4" s="242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300</v>
      </c>
      <c r="D5" s="241">
        <v>100</v>
      </c>
      <c r="E5" s="245">
        <v>100</v>
      </c>
      <c r="F5" s="245">
        <v>100</v>
      </c>
      <c r="G5" s="241">
        <v>75</v>
      </c>
      <c r="H5" s="241">
        <v>75</v>
      </c>
      <c r="I5" s="241">
        <v>75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250</v>
      </c>
      <c r="D6" s="241">
        <v>100</v>
      </c>
      <c r="E6" s="245">
        <v>100</v>
      </c>
      <c r="F6" s="245">
        <v>100</v>
      </c>
      <c r="G6" s="241">
        <v>75</v>
      </c>
      <c r="H6" s="241">
        <v>75</v>
      </c>
      <c r="I6" s="241">
        <v>75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250</v>
      </c>
      <c r="D7" s="241">
        <v>100</v>
      </c>
      <c r="E7" s="241">
        <v>100</v>
      </c>
      <c r="F7" s="241">
        <v>90</v>
      </c>
      <c r="G7" s="241">
        <v>75</v>
      </c>
      <c r="H7" s="241">
        <v>75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300</v>
      </c>
      <c r="D8" s="241">
        <v>90</v>
      </c>
      <c r="E8" s="241">
        <v>100</v>
      </c>
      <c r="F8" s="241">
        <v>100</v>
      </c>
      <c r="G8" s="241">
        <v>75</v>
      </c>
      <c r="H8" s="241">
        <v>75</v>
      </c>
      <c r="I8" s="241">
        <v>75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92</v>
      </c>
      <c r="E9" s="241">
        <v>100</v>
      </c>
      <c r="F9" s="241">
        <v>90</v>
      </c>
      <c r="G9" s="241">
        <v>75</v>
      </c>
      <c r="H9" s="241">
        <v>75</v>
      </c>
      <c r="I9" s="241">
        <v>75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250</v>
      </c>
      <c r="D10" s="241">
        <v>100</v>
      </c>
      <c r="E10" s="241">
        <v>100</v>
      </c>
      <c r="F10" s="241">
        <v>100</v>
      </c>
      <c r="G10" s="241">
        <v>75</v>
      </c>
      <c r="H10" s="241">
        <v>75</v>
      </c>
      <c r="I10" s="241">
        <v>75</v>
      </c>
      <c r="J10" s="241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250</v>
      </c>
      <c r="D11" s="241">
        <v>100</v>
      </c>
      <c r="E11" s="241">
        <v>100</v>
      </c>
      <c r="F11" s="241">
        <v>100</v>
      </c>
      <c r="G11" s="241">
        <v>75</v>
      </c>
      <c r="H11" s="241">
        <v>75</v>
      </c>
      <c r="I11" s="241">
        <v>75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100</v>
      </c>
      <c r="E12" s="245">
        <v>90</v>
      </c>
      <c r="F12" s="245">
        <v>90</v>
      </c>
      <c r="G12" s="241">
        <v>75</v>
      </c>
      <c r="H12" s="241">
        <v>75</v>
      </c>
      <c r="I12" s="241">
        <v>75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300</v>
      </c>
      <c r="D13" s="241">
        <v>95</v>
      </c>
      <c r="E13" s="245">
        <v>93</v>
      </c>
      <c r="F13" s="245">
        <v>93</v>
      </c>
      <c r="G13" s="241">
        <v>75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95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 t="shared" ref="C16:E16" si="0">IFERROR(AVERAGE(C4:C10),0)</f>
        <v>264.2857143</v>
      </c>
      <c r="D16" s="229">
        <f t="shared" si="0"/>
        <v>97.42857143</v>
      </c>
      <c r="E16" s="229">
        <f t="shared" si="0"/>
        <v>99.28571429</v>
      </c>
      <c r="F16" s="229">
        <f t="shared" ref="F16:K16" si="1">IFERROR(AVERAGE(F4:F15),0)</f>
        <v>96.18181818</v>
      </c>
      <c r="G16" s="229">
        <f t="shared" si="1"/>
        <v>75</v>
      </c>
      <c r="H16" s="229">
        <f t="shared" si="1"/>
        <v>75</v>
      </c>
      <c r="I16" s="229">
        <f t="shared" si="1"/>
        <v>75</v>
      </c>
      <c r="J16" s="229">
        <f t="shared" si="1"/>
        <v>75</v>
      </c>
      <c r="K16" s="210">
        <f t="shared" si="1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46179</v>
      </c>
      <c r="C4" s="242">
        <v>250</v>
      </c>
      <c r="D4" s="242">
        <v>100</v>
      </c>
      <c r="E4" s="243">
        <v>95</v>
      </c>
      <c r="F4" s="243">
        <v>95</v>
      </c>
      <c r="G4" s="242">
        <v>75</v>
      </c>
      <c r="H4" s="242">
        <v>75</v>
      </c>
      <c r="I4" s="242">
        <v>75</v>
      </c>
      <c r="J4" s="242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6">
        <v>46181</v>
      </c>
      <c r="C5" s="241">
        <v>250</v>
      </c>
      <c r="D5" s="241">
        <v>95</v>
      </c>
      <c r="E5" s="245">
        <v>100</v>
      </c>
      <c r="F5" s="245">
        <v>100</v>
      </c>
      <c r="G5" s="241">
        <v>75</v>
      </c>
      <c r="H5" s="241">
        <v>75</v>
      </c>
      <c r="I5" s="241">
        <v>75</v>
      </c>
      <c r="J5" s="241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6">
        <v>46182</v>
      </c>
      <c r="C6" s="241">
        <v>300</v>
      </c>
      <c r="D6" s="241">
        <v>100</v>
      </c>
      <c r="E6" s="245">
        <v>100</v>
      </c>
      <c r="F6" s="245">
        <v>100</v>
      </c>
      <c r="G6" s="241">
        <v>75</v>
      </c>
      <c r="H6" s="241">
        <v>75</v>
      </c>
      <c r="I6" s="241">
        <v>75</v>
      </c>
      <c r="J6" s="241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7">
        <v>46185</v>
      </c>
      <c r="C7" s="241">
        <v>300</v>
      </c>
      <c r="D7" s="241">
        <v>100</v>
      </c>
      <c r="E7" s="241">
        <v>100</v>
      </c>
      <c r="F7" s="241">
        <v>90</v>
      </c>
      <c r="G7" s="241">
        <v>75</v>
      </c>
      <c r="H7" s="241">
        <v>75</v>
      </c>
      <c r="I7" s="241">
        <v>75</v>
      </c>
      <c r="J7" s="241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7">
        <v>46186</v>
      </c>
      <c r="C8" s="241">
        <v>250</v>
      </c>
      <c r="D8" s="241">
        <v>90</v>
      </c>
      <c r="E8" s="241">
        <v>100</v>
      </c>
      <c r="F8" s="241">
        <v>100</v>
      </c>
      <c r="G8" s="241">
        <v>75</v>
      </c>
      <c r="H8" s="241">
        <v>75</v>
      </c>
      <c r="I8" s="241">
        <v>75</v>
      </c>
      <c r="J8" s="241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7">
        <v>46188</v>
      </c>
      <c r="C9" s="241">
        <v>250</v>
      </c>
      <c r="D9" s="241">
        <v>100</v>
      </c>
      <c r="E9" s="241">
        <v>100</v>
      </c>
      <c r="F9" s="241">
        <v>90</v>
      </c>
      <c r="G9" s="241">
        <v>75</v>
      </c>
      <c r="H9" s="241">
        <v>75</v>
      </c>
      <c r="I9" s="241">
        <v>75</v>
      </c>
      <c r="J9" s="241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8">
        <v>46189</v>
      </c>
      <c r="C10" s="241">
        <v>300</v>
      </c>
      <c r="D10" s="241">
        <v>95</v>
      </c>
      <c r="E10" s="241">
        <v>100</v>
      </c>
      <c r="F10" s="241">
        <v>100</v>
      </c>
      <c r="G10" s="241">
        <v>75</v>
      </c>
      <c r="H10" s="241">
        <v>75</v>
      </c>
      <c r="I10" s="241">
        <v>75</v>
      </c>
      <c r="J10" s="241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8">
        <v>46190</v>
      </c>
      <c r="C11" s="241">
        <v>250</v>
      </c>
      <c r="D11" s="241">
        <v>100</v>
      </c>
      <c r="E11" s="241">
        <v>100</v>
      </c>
      <c r="F11" s="241">
        <v>100</v>
      </c>
      <c r="G11" s="241">
        <v>75</v>
      </c>
      <c r="H11" s="241">
        <v>75</v>
      </c>
      <c r="I11" s="241">
        <v>75</v>
      </c>
      <c r="J11" s="241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8">
        <v>46192</v>
      </c>
      <c r="C12" s="241">
        <v>250</v>
      </c>
      <c r="D12" s="241">
        <v>100</v>
      </c>
      <c r="E12" s="245">
        <v>90</v>
      </c>
      <c r="F12" s="245">
        <v>90</v>
      </c>
      <c r="G12" s="241">
        <v>75</v>
      </c>
      <c r="H12" s="241">
        <v>75</v>
      </c>
      <c r="I12" s="241">
        <v>75</v>
      </c>
      <c r="J12" s="241">
        <v>75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6">
        <v>46193</v>
      </c>
      <c r="C13" s="241">
        <v>300</v>
      </c>
      <c r="D13" s="241">
        <v>100</v>
      </c>
      <c r="E13" s="245">
        <v>93</v>
      </c>
      <c r="F13" s="245">
        <v>93</v>
      </c>
      <c r="G13" s="241">
        <v>75</v>
      </c>
      <c r="H13" s="241">
        <v>75</v>
      </c>
      <c r="I13" s="241">
        <v>75</v>
      </c>
      <c r="J13" s="241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6">
        <v>46194</v>
      </c>
      <c r="C14" s="241">
        <v>250</v>
      </c>
      <c r="D14" s="241">
        <v>100</v>
      </c>
      <c r="E14" s="245">
        <v>100</v>
      </c>
      <c r="F14" s="245">
        <v>100</v>
      </c>
      <c r="G14" s="241">
        <v>75</v>
      </c>
      <c r="H14" s="241">
        <v>75</v>
      </c>
      <c r="I14" s="241">
        <v>75</v>
      </c>
      <c r="J14" s="241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/>
      <c r="C16" s="229">
        <f>IFERROR(AVERAGE(C4:C8),0)</f>
        <v>270</v>
      </c>
      <c r="D16" s="229">
        <f t="shared" ref="D16:E16" si="0">IFERROR(AVERAGE(D4:D10),0)</f>
        <v>97.14285714</v>
      </c>
      <c r="E16" s="229">
        <f t="shared" si="0"/>
        <v>99.28571429</v>
      </c>
      <c r="F16" s="229">
        <f t="shared" ref="F16:K16" si="1">IFERROR(AVERAGE(F4:F15),0)</f>
        <v>96.18181818</v>
      </c>
      <c r="G16" s="229">
        <f t="shared" si="1"/>
        <v>75</v>
      </c>
      <c r="H16" s="229">
        <f t="shared" si="1"/>
        <v>75</v>
      </c>
      <c r="I16" s="229">
        <f t="shared" si="1"/>
        <v>75</v>
      </c>
      <c r="J16" s="229">
        <f t="shared" si="1"/>
        <v>75</v>
      </c>
      <c r="K16" s="210">
        <f t="shared" si="1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 t="s">
        <v>876</v>
      </c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000"/>
  <sheetViews>
    <sheetView workbookViewId="0" zoomScale="100" zoomScaleNormal="100"/>
  </sheetViews>
  <sheetFormatPr defaultRowHeight="15" outlineLevelRow="0" outlineLevelCol="0" x14ac:dyDescent="0" defaultColWidth="12.63"/>
  <cols>
    <col min="1" max="6" width="12.63" customWidth="1"/>
  </cols>
  <sheetData>
    <row r="1" ht="15.75" customHeight="1" x14ac:dyDescent="0.25"/>
    <row r="2" ht="15.75" customHeight="1" x14ac:dyDescent="0.25"/>
    <row r="3" ht="15.75" customHeight="1" x14ac:dyDescent="0.25"/>
    <row r="4" ht="15.75" customHeight="1" x14ac:dyDescent="0.25"/>
    <row r="5" ht="15.75" customHeight="1" x14ac:dyDescent="0.25"/>
    <row r="6" ht="15.75" customHeight="1" x14ac:dyDescent="0.25"/>
    <row r="7" ht="15.75" customHeight="1" x14ac:dyDescent="0.25"/>
    <row r="8" ht="15.75" customHeight="1" x14ac:dyDescent="0.25"/>
    <row r="9" ht="15.75" customHeight="1" x14ac:dyDescent="0.25"/>
    <row r="10" ht="15.75" customHeight="1" x14ac:dyDescent="0.25"/>
    <row r="11" ht="15.75" customHeight="1" x14ac:dyDescent="0.25"/>
    <row r="12" ht="15.75" customHeight="1" x14ac:dyDescent="0.25"/>
    <row r="13" ht="15.75" customHeight="1" x14ac:dyDescent="0.25"/>
    <row r="14" ht="15.75" customHeight="1" x14ac:dyDescent="0.25"/>
    <row r="15" ht="15.75" customHeight="1" x14ac:dyDescent="0.25"/>
    <row r="1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206">
        <v>187</v>
      </c>
      <c r="D4" s="206">
        <v>69</v>
      </c>
      <c r="E4" s="206">
        <v>67</v>
      </c>
      <c r="F4" s="206">
        <v>63</v>
      </c>
      <c r="G4" s="206">
        <v>49</v>
      </c>
      <c r="H4" s="206">
        <v>49</v>
      </c>
      <c r="I4" s="206">
        <v>55</v>
      </c>
      <c r="J4" s="206">
        <v>52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206">
        <v>229</v>
      </c>
      <c r="D5" s="206">
        <v>62</v>
      </c>
      <c r="E5" s="206">
        <v>69</v>
      </c>
      <c r="F5" s="206">
        <v>77</v>
      </c>
      <c r="G5" s="206">
        <v>56</v>
      </c>
      <c r="H5" s="206">
        <v>49</v>
      </c>
      <c r="I5" s="206">
        <v>46</v>
      </c>
      <c r="J5" s="206">
        <v>51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206">
        <v>223</v>
      </c>
      <c r="D6" s="206">
        <v>67</v>
      </c>
      <c r="E6" s="206">
        <v>77</v>
      </c>
      <c r="F6" s="206">
        <v>71</v>
      </c>
      <c r="G6" s="206">
        <v>58</v>
      </c>
      <c r="H6" s="206">
        <v>53</v>
      </c>
      <c r="I6" s="206">
        <v>55</v>
      </c>
      <c r="J6" s="206">
        <v>54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206">
        <v>211</v>
      </c>
      <c r="D7" s="206">
        <v>66</v>
      </c>
      <c r="E7" s="206">
        <v>72</v>
      </c>
      <c r="F7" s="206">
        <v>65</v>
      </c>
      <c r="G7" s="206">
        <v>49</v>
      </c>
      <c r="H7" s="206">
        <v>58</v>
      </c>
      <c r="I7" s="206">
        <v>54</v>
      </c>
      <c r="J7" s="206">
        <v>51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206">
        <v>229</v>
      </c>
      <c r="D8" s="206">
        <v>72</v>
      </c>
      <c r="E8" s="206">
        <v>70</v>
      </c>
      <c r="F8" s="206">
        <v>64</v>
      </c>
      <c r="G8" s="206">
        <v>52</v>
      </c>
      <c r="H8" s="206">
        <v>52</v>
      </c>
      <c r="I8" s="206">
        <v>55</v>
      </c>
      <c r="J8" s="206">
        <v>54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206">
        <v>231</v>
      </c>
      <c r="D9" s="206">
        <v>75</v>
      </c>
      <c r="E9" s="206">
        <v>68</v>
      </c>
      <c r="F9" s="206">
        <v>70</v>
      </c>
      <c r="G9" s="206">
        <v>50</v>
      </c>
      <c r="H9" s="206">
        <v>48</v>
      </c>
      <c r="I9" s="206">
        <v>50</v>
      </c>
      <c r="J9" s="206">
        <v>48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206">
        <v>215</v>
      </c>
      <c r="D10" s="206">
        <v>66</v>
      </c>
      <c r="E10" s="206">
        <v>64</v>
      </c>
      <c r="F10" s="206">
        <v>70</v>
      </c>
      <c r="G10" s="206">
        <v>57</v>
      </c>
      <c r="H10" s="206">
        <v>52</v>
      </c>
      <c r="I10" s="206">
        <v>54</v>
      </c>
      <c r="J10" s="206">
        <v>51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206">
        <v>196</v>
      </c>
      <c r="D11" s="206">
        <v>72</v>
      </c>
      <c r="E11" s="206">
        <v>67</v>
      </c>
      <c r="F11" s="206">
        <v>62</v>
      </c>
      <c r="G11" s="206">
        <v>52</v>
      </c>
      <c r="H11" s="206">
        <v>50</v>
      </c>
      <c r="I11" s="206">
        <v>56</v>
      </c>
      <c r="J11" s="206">
        <v>57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206">
        <v>185</v>
      </c>
      <c r="D12" s="206">
        <v>66</v>
      </c>
      <c r="E12" s="206">
        <v>73</v>
      </c>
      <c r="F12" s="206">
        <v>77</v>
      </c>
      <c r="G12" s="206">
        <v>56</v>
      </c>
      <c r="H12" s="206">
        <v>52</v>
      </c>
      <c r="I12" s="206">
        <v>58</v>
      </c>
      <c r="J12" s="206">
        <v>50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206">
        <v>219</v>
      </c>
      <c r="D13" s="206">
        <v>76</v>
      </c>
      <c r="E13" s="206">
        <v>71</v>
      </c>
      <c r="F13" s="206">
        <v>76</v>
      </c>
      <c r="G13" s="206">
        <v>56</v>
      </c>
      <c r="H13" s="206">
        <v>52</v>
      </c>
      <c r="I13" s="206">
        <v>52</v>
      </c>
      <c r="J13" s="206">
        <v>54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206">
        <v>206</v>
      </c>
      <c r="D14" s="206">
        <v>74</v>
      </c>
      <c r="E14" s="206">
        <v>73</v>
      </c>
      <c r="F14" s="206">
        <v>68</v>
      </c>
      <c r="G14" s="206">
        <v>49</v>
      </c>
      <c r="H14" s="206">
        <v>51</v>
      </c>
      <c r="I14" s="206">
        <v>46</v>
      </c>
      <c r="J14" s="206">
        <v>54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214</v>
      </c>
      <c r="D15" s="206">
        <v>70</v>
      </c>
      <c r="E15" s="206">
        <v>64</v>
      </c>
      <c r="F15" s="207">
        <v>63</v>
      </c>
      <c r="G15" s="206">
        <v>55</v>
      </c>
      <c r="H15" s="206">
        <v>50</v>
      </c>
      <c r="I15" s="206">
        <v>52</v>
      </c>
      <c r="J15" s="207">
        <v>56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630.0833333</v>
      </c>
      <c r="C16" s="229">
        <f t="shared" ref="C16:K16" si="0">IFERROR(AVERAGE(C4:C15),0)</f>
        <v>212.0833333</v>
      </c>
      <c r="D16" s="229">
        <f t="shared" si="0"/>
        <v>69.58333333</v>
      </c>
      <c r="E16" s="229">
        <f t="shared" si="0"/>
        <v>69.58333333</v>
      </c>
      <c r="F16" s="229">
        <f t="shared" si="0"/>
        <v>68.83333333</v>
      </c>
      <c r="G16" s="229">
        <f t="shared" si="0"/>
        <v>53.25</v>
      </c>
      <c r="H16" s="229">
        <f t="shared" si="0"/>
        <v>51.33333333</v>
      </c>
      <c r="I16" s="229">
        <f t="shared" si="0"/>
        <v>52.75</v>
      </c>
      <c r="J16" s="229">
        <f t="shared" si="0"/>
        <v>52.66666667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206">
        <v>224</v>
      </c>
      <c r="D4" s="206">
        <v>78</v>
      </c>
      <c r="E4" s="206">
        <v>82</v>
      </c>
      <c r="F4" s="206">
        <v>79</v>
      </c>
      <c r="G4" s="206">
        <v>64</v>
      </c>
      <c r="H4" s="206">
        <v>60</v>
      </c>
      <c r="I4" s="206">
        <v>64</v>
      </c>
      <c r="J4" s="206">
        <v>57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206">
        <v>260</v>
      </c>
      <c r="D5" s="206">
        <v>78</v>
      </c>
      <c r="E5" s="206">
        <v>78</v>
      </c>
      <c r="F5" s="206">
        <v>87</v>
      </c>
      <c r="G5" s="206">
        <v>57</v>
      </c>
      <c r="H5" s="206">
        <v>57</v>
      </c>
      <c r="I5" s="206">
        <v>63</v>
      </c>
      <c r="J5" s="206">
        <v>67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206">
        <v>236</v>
      </c>
      <c r="D6" s="206">
        <v>74</v>
      </c>
      <c r="E6" s="206">
        <v>83</v>
      </c>
      <c r="F6" s="206">
        <v>84</v>
      </c>
      <c r="G6" s="206">
        <v>59</v>
      </c>
      <c r="H6" s="206">
        <v>67</v>
      </c>
      <c r="I6" s="206">
        <v>65</v>
      </c>
      <c r="J6" s="206">
        <v>59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206">
        <v>240</v>
      </c>
      <c r="D7" s="206">
        <v>87</v>
      </c>
      <c r="E7" s="206">
        <v>83</v>
      </c>
      <c r="F7" s="206">
        <v>80</v>
      </c>
      <c r="G7" s="206">
        <v>64</v>
      </c>
      <c r="H7" s="206">
        <v>57</v>
      </c>
      <c r="I7" s="206">
        <v>67</v>
      </c>
      <c r="J7" s="206">
        <v>61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206">
        <v>229</v>
      </c>
      <c r="D8" s="206">
        <v>88</v>
      </c>
      <c r="E8" s="206">
        <v>90</v>
      </c>
      <c r="F8" s="206">
        <v>84</v>
      </c>
      <c r="G8" s="206">
        <v>58</v>
      </c>
      <c r="H8" s="206">
        <v>67</v>
      </c>
      <c r="I8" s="206">
        <v>57</v>
      </c>
      <c r="J8" s="206">
        <v>57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206">
        <v>247</v>
      </c>
      <c r="D9" s="206">
        <v>85</v>
      </c>
      <c r="E9" s="206">
        <v>79</v>
      </c>
      <c r="F9" s="206">
        <v>84</v>
      </c>
      <c r="G9" s="206">
        <v>57</v>
      </c>
      <c r="H9" s="206">
        <v>66</v>
      </c>
      <c r="I9" s="206">
        <v>58</v>
      </c>
      <c r="J9" s="206">
        <v>66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206">
        <v>249</v>
      </c>
      <c r="D10" s="206">
        <v>77</v>
      </c>
      <c r="E10" s="206">
        <v>90</v>
      </c>
      <c r="F10" s="206">
        <v>85</v>
      </c>
      <c r="G10" s="206">
        <v>62</v>
      </c>
      <c r="H10" s="206">
        <v>64</v>
      </c>
      <c r="I10" s="206">
        <v>56</v>
      </c>
      <c r="J10" s="206">
        <v>57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206">
        <v>260</v>
      </c>
      <c r="D11" s="206">
        <v>81</v>
      </c>
      <c r="E11" s="206">
        <v>85</v>
      </c>
      <c r="F11" s="206">
        <v>86</v>
      </c>
      <c r="G11" s="206">
        <v>67</v>
      </c>
      <c r="H11" s="206">
        <v>67</v>
      </c>
      <c r="I11" s="206">
        <v>66</v>
      </c>
      <c r="J11" s="206">
        <v>61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206">
        <v>230</v>
      </c>
      <c r="D12" s="206">
        <v>80</v>
      </c>
      <c r="E12" s="206">
        <v>78</v>
      </c>
      <c r="F12" s="206">
        <v>85</v>
      </c>
      <c r="G12" s="206">
        <v>62</v>
      </c>
      <c r="H12" s="206">
        <v>67</v>
      </c>
      <c r="I12" s="206">
        <v>62</v>
      </c>
      <c r="J12" s="206">
        <v>64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206">
        <v>226</v>
      </c>
      <c r="D13" s="206">
        <v>83</v>
      </c>
      <c r="E13" s="206">
        <v>83</v>
      </c>
      <c r="F13" s="206">
        <v>87</v>
      </c>
      <c r="G13" s="206">
        <v>66</v>
      </c>
      <c r="H13" s="206">
        <v>65</v>
      </c>
      <c r="I13" s="206">
        <v>66</v>
      </c>
      <c r="J13" s="206">
        <v>64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206">
        <v>264</v>
      </c>
      <c r="D14" s="206">
        <v>84</v>
      </c>
      <c r="E14" s="206">
        <v>85</v>
      </c>
      <c r="F14" s="206">
        <v>84</v>
      </c>
      <c r="G14" s="206">
        <v>65</v>
      </c>
      <c r="H14" s="206">
        <v>60</v>
      </c>
      <c r="I14" s="206">
        <v>58</v>
      </c>
      <c r="J14" s="206">
        <v>67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252</v>
      </c>
      <c r="D15" s="206">
        <v>81</v>
      </c>
      <c r="E15" s="206">
        <v>86</v>
      </c>
      <c r="F15" s="207">
        <v>88</v>
      </c>
      <c r="G15" s="206">
        <v>59</v>
      </c>
      <c r="H15" s="206">
        <v>65</v>
      </c>
      <c r="I15" s="206">
        <v>56</v>
      </c>
      <c r="J15" s="207">
        <v>61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740.75</v>
      </c>
      <c r="C16" s="229">
        <f t="shared" ref="C16:K16" si="0">IFERROR(AVERAGE(C4:C15),0)</f>
        <v>243.0833333</v>
      </c>
      <c r="D16" s="229">
        <f t="shared" si="0"/>
        <v>81.33333333</v>
      </c>
      <c r="E16" s="229">
        <f t="shared" si="0"/>
        <v>83.5</v>
      </c>
      <c r="F16" s="229">
        <f t="shared" si="0"/>
        <v>84.41666667</v>
      </c>
      <c r="G16" s="229">
        <f t="shared" si="0"/>
        <v>61.66666667</v>
      </c>
      <c r="H16" s="229">
        <f t="shared" si="0"/>
        <v>63.5</v>
      </c>
      <c r="I16" s="229">
        <f t="shared" si="0"/>
        <v>61.5</v>
      </c>
      <c r="J16" s="229">
        <f t="shared" si="0"/>
        <v>61.75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206">
        <v>242</v>
      </c>
      <c r="D4" s="206">
        <v>69</v>
      </c>
      <c r="E4" s="206">
        <v>79</v>
      </c>
      <c r="F4" s="206">
        <v>75</v>
      </c>
      <c r="G4" s="206">
        <v>58</v>
      </c>
      <c r="H4" s="206">
        <v>55</v>
      </c>
      <c r="I4" s="206">
        <v>59</v>
      </c>
      <c r="J4" s="206">
        <v>60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206">
        <v>223</v>
      </c>
      <c r="D5" s="206">
        <v>81</v>
      </c>
      <c r="E5" s="206">
        <v>75</v>
      </c>
      <c r="F5" s="206">
        <v>73</v>
      </c>
      <c r="G5" s="206">
        <v>51</v>
      </c>
      <c r="H5" s="206">
        <v>52</v>
      </c>
      <c r="I5" s="206">
        <v>61</v>
      </c>
      <c r="J5" s="206">
        <v>62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206">
        <v>233</v>
      </c>
      <c r="D6" s="206">
        <v>67</v>
      </c>
      <c r="E6" s="206">
        <v>79</v>
      </c>
      <c r="F6" s="206">
        <v>78</v>
      </c>
      <c r="G6" s="206">
        <v>59</v>
      </c>
      <c r="H6" s="206">
        <v>61</v>
      </c>
      <c r="I6" s="206">
        <v>59</v>
      </c>
      <c r="J6" s="206">
        <v>60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206">
        <v>232</v>
      </c>
      <c r="D7" s="206">
        <v>81</v>
      </c>
      <c r="E7" s="206">
        <v>75</v>
      </c>
      <c r="F7" s="206">
        <v>75</v>
      </c>
      <c r="G7" s="206">
        <v>60</v>
      </c>
      <c r="H7" s="206">
        <v>51</v>
      </c>
      <c r="I7" s="206">
        <v>62</v>
      </c>
      <c r="J7" s="206">
        <v>58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206">
        <v>230</v>
      </c>
      <c r="D8" s="206">
        <v>69</v>
      </c>
      <c r="E8" s="206">
        <v>79</v>
      </c>
      <c r="F8" s="206">
        <v>82</v>
      </c>
      <c r="G8" s="206">
        <v>58</v>
      </c>
      <c r="H8" s="206">
        <v>60</v>
      </c>
      <c r="I8" s="206">
        <v>57</v>
      </c>
      <c r="J8" s="206">
        <v>58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206">
        <v>202</v>
      </c>
      <c r="D9" s="206">
        <v>69</v>
      </c>
      <c r="E9" s="206">
        <v>75</v>
      </c>
      <c r="F9" s="206">
        <v>68</v>
      </c>
      <c r="G9" s="206">
        <v>59</v>
      </c>
      <c r="H9" s="206">
        <v>51</v>
      </c>
      <c r="I9" s="206">
        <v>54</v>
      </c>
      <c r="J9" s="206">
        <v>51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206">
        <v>239</v>
      </c>
      <c r="D10" s="206">
        <v>71</v>
      </c>
      <c r="E10" s="206">
        <v>69</v>
      </c>
      <c r="F10" s="206">
        <v>68</v>
      </c>
      <c r="G10" s="206">
        <v>59</v>
      </c>
      <c r="H10" s="206">
        <v>51</v>
      </c>
      <c r="I10" s="206">
        <v>57</v>
      </c>
      <c r="J10" s="206">
        <v>61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206">
        <v>213</v>
      </c>
      <c r="D11" s="206">
        <v>70</v>
      </c>
      <c r="E11" s="206">
        <v>75</v>
      </c>
      <c r="F11" s="206">
        <v>77</v>
      </c>
      <c r="G11" s="206">
        <v>53</v>
      </c>
      <c r="H11" s="206">
        <v>59</v>
      </c>
      <c r="I11" s="206">
        <v>53</v>
      </c>
      <c r="J11" s="206">
        <v>60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206">
        <v>207</v>
      </c>
      <c r="D12" s="206">
        <v>78</v>
      </c>
      <c r="E12" s="206">
        <v>82</v>
      </c>
      <c r="F12" s="206">
        <v>68</v>
      </c>
      <c r="G12" s="206">
        <v>56</v>
      </c>
      <c r="H12" s="206">
        <v>60</v>
      </c>
      <c r="I12" s="206">
        <v>58</v>
      </c>
      <c r="J12" s="206">
        <v>53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206">
        <v>228</v>
      </c>
      <c r="D13" s="206">
        <v>67</v>
      </c>
      <c r="E13" s="206">
        <v>68</v>
      </c>
      <c r="F13" s="206">
        <v>71</v>
      </c>
      <c r="G13" s="206">
        <v>53</v>
      </c>
      <c r="H13" s="206">
        <v>57</v>
      </c>
      <c r="I13" s="206">
        <v>53</v>
      </c>
      <c r="J13" s="206">
        <v>52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206">
        <v>204</v>
      </c>
      <c r="D14" s="206">
        <v>67</v>
      </c>
      <c r="E14" s="206">
        <v>80</v>
      </c>
      <c r="F14" s="206">
        <v>77</v>
      </c>
      <c r="G14" s="206">
        <v>54</v>
      </c>
      <c r="H14" s="206">
        <v>57</v>
      </c>
      <c r="I14" s="206">
        <v>52</v>
      </c>
      <c r="J14" s="206">
        <v>59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238</v>
      </c>
      <c r="D15" s="206">
        <v>80</v>
      </c>
      <c r="E15" s="206">
        <v>81</v>
      </c>
      <c r="F15" s="207">
        <v>76</v>
      </c>
      <c r="G15" s="206">
        <v>56</v>
      </c>
      <c r="H15" s="206">
        <v>57</v>
      </c>
      <c r="I15" s="206">
        <v>60</v>
      </c>
      <c r="J15" s="207">
        <v>54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673.75</v>
      </c>
      <c r="C16" s="229">
        <f t="shared" ref="C16:K16" si="0">IFERROR(AVERAGE(C4:C15),0)</f>
        <v>224.25</v>
      </c>
      <c r="D16" s="229">
        <f t="shared" si="0"/>
        <v>72.41666667</v>
      </c>
      <c r="E16" s="229">
        <f t="shared" si="0"/>
        <v>76.41666667</v>
      </c>
      <c r="F16" s="229">
        <f t="shared" si="0"/>
        <v>74</v>
      </c>
      <c r="G16" s="229">
        <f t="shared" si="0"/>
        <v>56.33333333</v>
      </c>
      <c r="H16" s="229">
        <f t="shared" si="0"/>
        <v>55.91666667</v>
      </c>
      <c r="I16" s="229">
        <f t="shared" si="0"/>
        <v>57.08333333</v>
      </c>
      <c r="J16" s="229">
        <f t="shared" si="0"/>
        <v>57.33333333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</v>
      </c>
      <c r="D4" s="193">
        <v>100</v>
      </c>
      <c r="E4" s="193">
        <v>100</v>
      </c>
      <c r="F4" s="194">
        <v>100</v>
      </c>
      <c r="G4" s="193">
        <v>75</v>
      </c>
      <c r="H4" s="193">
        <v>75</v>
      </c>
      <c r="I4" s="193">
        <v>75</v>
      </c>
      <c r="J4" s="194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50</v>
      </c>
      <c r="D5" s="198">
        <v>100</v>
      </c>
      <c r="E5" s="198">
        <v>100</v>
      </c>
      <c r="F5" s="199">
        <v>0</v>
      </c>
      <c r="G5" s="198">
        <v>75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</v>
      </c>
      <c r="D6" s="198">
        <v>100</v>
      </c>
      <c r="E6" s="198">
        <v>100</v>
      </c>
      <c r="F6" s="199">
        <v>50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80</v>
      </c>
      <c r="D7" s="198">
        <v>100</v>
      </c>
      <c r="E7" s="198">
        <v>100</v>
      </c>
      <c r="F7" s="199">
        <v>50</v>
      </c>
      <c r="G7" s="198">
        <v>75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50</v>
      </c>
      <c r="D8" s="198">
        <v>100</v>
      </c>
      <c r="E8" s="198">
        <v>100</v>
      </c>
      <c r="F8" s="199">
        <v>20</v>
      </c>
      <c r="G8" s="198" t="s">
        <v>36</v>
      </c>
      <c r="H8" s="198" t="s">
        <v>36</v>
      </c>
      <c r="I8" s="198" t="s">
        <v>36</v>
      </c>
      <c r="J8" s="199" t="s">
        <v>36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80</v>
      </c>
      <c r="D9" s="198">
        <v>100</v>
      </c>
      <c r="E9" s="198">
        <v>100</v>
      </c>
      <c r="F9" s="199">
        <v>50</v>
      </c>
      <c r="G9" s="198" t="s">
        <v>36</v>
      </c>
      <c r="H9" s="198" t="s">
        <v>36</v>
      </c>
      <c r="I9" s="198" t="s">
        <v>36</v>
      </c>
      <c r="J9" s="199" t="s">
        <v>36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40</v>
      </c>
      <c r="D10" s="198">
        <v>70</v>
      </c>
      <c r="E10" s="198">
        <v>50</v>
      </c>
      <c r="F10" s="199">
        <v>50</v>
      </c>
      <c r="G10" s="198">
        <v>75</v>
      </c>
      <c r="H10" s="198">
        <v>75</v>
      </c>
      <c r="I10" s="198">
        <v>75</v>
      </c>
      <c r="J10" s="199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40</v>
      </c>
      <c r="D11" s="198">
        <v>70</v>
      </c>
      <c r="E11" s="198">
        <v>50</v>
      </c>
      <c r="F11" s="199">
        <v>50</v>
      </c>
      <c r="G11" s="198">
        <v>75</v>
      </c>
      <c r="H11" s="198">
        <v>75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30</v>
      </c>
      <c r="D12" s="198">
        <v>50</v>
      </c>
      <c r="E12" s="198">
        <v>40</v>
      </c>
      <c r="F12" s="199">
        <v>50</v>
      </c>
      <c r="G12" s="198" t="s">
        <v>36</v>
      </c>
      <c r="H12" s="198" t="s">
        <v>36</v>
      </c>
      <c r="I12" s="198" t="s">
        <v>36</v>
      </c>
      <c r="J12" s="199" t="s">
        <v>36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198">
        <v>30</v>
      </c>
      <c r="D13" s="198">
        <v>50</v>
      </c>
      <c r="E13" s="198">
        <v>40</v>
      </c>
      <c r="F13" s="199">
        <v>50</v>
      </c>
      <c r="G13" s="198">
        <v>75</v>
      </c>
      <c r="H13" s="198">
        <v>75</v>
      </c>
      <c r="I13" s="198">
        <v>75</v>
      </c>
      <c r="J13" s="199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198">
        <v>30</v>
      </c>
      <c r="D14" s="198">
        <v>50</v>
      </c>
      <c r="E14" s="198">
        <v>40</v>
      </c>
      <c r="F14" s="199">
        <v>50</v>
      </c>
      <c r="G14" s="198">
        <v>75</v>
      </c>
      <c r="H14" s="198">
        <v>75</v>
      </c>
      <c r="I14" s="198">
        <v>75</v>
      </c>
      <c r="J14" s="199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545.4545455</v>
      </c>
      <c r="C16" s="229">
        <f t="shared" ref="C16:K16" si="0">IFERROR(AVERAGE(C4:C15),0)</f>
        <v>42.72727273</v>
      </c>
      <c r="D16" s="229">
        <f t="shared" si="0"/>
        <v>80.90909091</v>
      </c>
      <c r="E16" s="229">
        <f t="shared" si="0"/>
        <v>74.54545455</v>
      </c>
      <c r="F16" s="229">
        <f t="shared" si="0"/>
        <v>47.27272727</v>
      </c>
      <c r="G16" s="229">
        <f t="shared" si="0"/>
        <v>75</v>
      </c>
      <c r="H16" s="229">
        <f t="shared" si="0"/>
        <v>75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 t="s">
        <v>36</v>
      </c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spans="1:26" x14ac:dyDescent="0.25">
      <c r="A221" s="177"/>
      <c r="B221" s="177"/>
      <c r="C221" s="211"/>
      <c r="D221" s="211"/>
      <c r="E221" s="211"/>
      <c r="F221" s="211"/>
      <c r="G221" s="211"/>
      <c r="H221" s="211"/>
      <c r="I221" s="211"/>
      <c r="J221" s="211"/>
      <c r="K221" s="211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</row>
    <row r="222" ht="15.75" customHeight="1" spans="1:26" x14ac:dyDescent="0.25">
      <c r="A222" s="177"/>
      <c r="B222" s="177"/>
      <c r="C222" s="211"/>
      <c r="D222" s="211"/>
      <c r="E222" s="211"/>
      <c r="F222" s="211"/>
      <c r="G222" s="211"/>
      <c r="H222" s="211"/>
      <c r="I222" s="211"/>
      <c r="J222" s="211"/>
      <c r="K222" s="211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</row>
    <row r="223" ht="15.75" customHeight="1" spans="1:26" x14ac:dyDescent="0.25">
      <c r="A223" s="177"/>
      <c r="B223" s="177"/>
      <c r="C223" s="211"/>
      <c r="D223" s="211"/>
      <c r="E223" s="211"/>
      <c r="F223" s="211"/>
      <c r="G223" s="211"/>
      <c r="H223" s="211"/>
      <c r="I223" s="211"/>
      <c r="J223" s="211"/>
      <c r="K223" s="211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</row>
    <row r="224" ht="15.75" customHeight="1" spans="1:26" x14ac:dyDescent="0.25">
      <c r="A224" s="177"/>
      <c r="B224" s="177"/>
      <c r="C224" s="211"/>
      <c r="D224" s="211"/>
      <c r="E224" s="211"/>
      <c r="F224" s="211"/>
      <c r="G224" s="211"/>
      <c r="H224" s="211"/>
      <c r="I224" s="211"/>
      <c r="J224" s="211"/>
      <c r="K224" s="211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</row>
    <row r="225" ht="15.75" customHeight="1" spans="1:26" x14ac:dyDescent="0.25">
      <c r="A225" s="177"/>
      <c r="B225" s="177"/>
      <c r="C225" s="211"/>
      <c r="D225" s="211"/>
      <c r="E225" s="211"/>
      <c r="F225" s="211"/>
      <c r="G225" s="211"/>
      <c r="H225" s="211"/>
      <c r="I225" s="211"/>
      <c r="J225" s="211"/>
      <c r="K225" s="211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</row>
    <row r="226" ht="15.75" customHeight="1" spans="1:26" x14ac:dyDescent="0.25">
      <c r="A226" s="177"/>
      <c r="B226" s="177"/>
      <c r="C226" s="211"/>
      <c r="D226" s="211"/>
      <c r="E226" s="211"/>
      <c r="F226" s="211"/>
      <c r="G226" s="211"/>
      <c r="H226" s="211"/>
      <c r="I226" s="211"/>
      <c r="J226" s="211"/>
      <c r="K226" s="211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</row>
    <row r="227" ht="15.75" customHeight="1" spans="1:26" x14ac:dyDescent="0.25">
      <c r="A227" s="177"/>
      <c r="B227" s="177"/>
      <c r="C227" s="211"/>
      <c r="D227" s="211"/>
      <c r="E227" s="211"/>
      <c r="F227" s="211"/>
      <c r="G227" s="211"/>
      <c r="H227" s="211"/>
      <c r="I227" s="211"/>
      <c r="J227" s="211"/>
      <c r="K227" s="211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</row>
    <row r="228" ht="15.75" customHeight="1" spans="1:26" x14ac:dyDescent="0.25">
      <c r="A228" s="177"/>
      <c r="B228" s="177"/>
      <c r="C228" s="211"/>
      <c r="D228" s="211"/>
      <c r="E228" s="211"/>
      <c r="F228" s="211"/>
      <c r="G228" s="211"/>
      <c r="H228" s="211"/>
      <c r="I228" s="211"/>
      <c r="J228" s="211"/>
      <c r="K228" s="211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</row>
    <row r="229" ht="15.75" customHeight="1" spans="1:26" x14ac:dyDescent="0.25">
      <c r="A229" s="177"/>
      <c r="B229" s="177"/>
      <c r="C229" s="211"/>
      <c r="D229" s="211"/>
      <c r="E229" s="211"/>
      <c r="F229" s="211"/>
      <c r="G229" s="211"/>
      <c r="H229" s="211"/>
      <c r="I229" s="211"/>
      <c r="J229" s="211"/>
      <c r="K229" s="211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</row>
    <row r="230" ht="15.75" customHeight="1" spans="1:26" x14ac:dyDescent="0.25">
      <c r="A230" s="177"/>
      <c r="B230" s="177"/>
      <c r="C230" s="211"/>
      <c r="D230" s="211"/>
      <c r="E230" s="211"/>
      <c r="F230" s="211"/>
      <c r="G230" s="211"/>
      <c r="H230" s="211"/>
      <c r="I230" s="211"/>
      <c r="J230" s="211"/>
      <c r="K230" s="211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</row>
    <row r="231" ht="15.75" customHeight="1" spans="1:26" x14ac:dyDescent="0.25">
      <c r="A231" s="177"/>
      <c r="B231" s="177"/>
      <c r="C231" s="211"/>
      <c r="D231" s="211"/>
      <c r="E231" s="211"/>
      <c r="F231" s="211"/>
      <c r="G231" s="211"/>
      <c r="H231" s="211"/>
      <c r="I231" s="211"/>
      <c r="J231" s="211"/>
      <c r="K231" s="211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</row>
    <row r="232" ht="15.75" customHeight="1" spans="1:26" x14ac:dyDescent="0.25">
      <c r="A232" s="177"/>
      <c r="B232" s="177"/>
      <c r="C232" s="211"/>
      <c r="D232" s="211"/>
      <c r="E232" s="211"/>
      <c r="F232" s="211"/>
      <c r="G232" s="211"/>
      <c r="H232" s="211"/>
      <c r="I232" s="211"/>
      <c r="J232" s="211"/>
      <c r="K232" s="211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</row>
    <row r="233" ht="15.75" customHeight="1" spans="1:26" x14ac:dyDescent="0.25">
      <c r="A233" s="177"/>
      <c r="B233" s="177"/>
      <c r="C233" s="211"/>
      <c r="D233" s="211"/>
      <c r="E233" s="211"/>
      <c r="F233" s="211"/>
      <c r="G233" s="211"/>
      <c r="H233" s="211"/>
      <c r="I233" s="211"/>
      <c r="J233" s="211"/>
      <c r="K233" s="211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</row>
    <row r="234" ht="15.75" customHeight="1" spans="1:26" x14ac:dyDescent="0.25">
      <c r="A234" s="177"/>
      <c r="B234" s="177"/>
      <c r="C234" s="211"/>
      <c r="D234" s="211"/>
      <c r="E234" s="211"/>
      <c r="F234" s="211"/>
      <c r="G234" s="211"/>
      <c r="H234" s="211"/>
      <c r="I234" s="211"/>
      <c r="J234" s="211"/>
      <c r="K234" s="211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</row>
    <row r="235" ht="15.75" customHeight="1" spans="1:26" x14ac:dyDescent="0.25">
      <c r="A235" s="177"/>
      <c r="B235" s="177"/>
      <c r="C235" s="211"/>
      <c r="D235" s="211"/>
      <c r="E235" s="211"/>
      <c r="F235" s="211"/>
      <c r="G235" s="211"/>
      <c r="H235" s="211"/>
      <c r="I235" s="211"/>
      <c r="J235" s="211"/>
      <c r="K235" s="211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</row>
    <row r="236" ht="15.75" customHeight="1" spans="1:26" x14ac:dyDescent="0.25">
      <c r="A236" s="177"/>
      <c r="B236" s="177"/>
      <c r="C236" s="211"/>
      <c r="D236" s="211"/>
      <c r="E236" s="211"/>
      <c r="F236" s="211"/>
      <c r="G236" s="211"/>
      <c r="H236" s="211"/>
      <c r="I236" s="211"/>
      <c r="J236" s="211"/>
      <c r="K236" s="211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</row>
    <row r="237" ht="15.75" customHeight="1" spans="1:26" x14ac:dyDescent="0.25">
      <c r="A237" s="177"/>
      <c r="B237" s="177"/>
      <c r="C237" s="211"/>
      <c r="D237" s="211"/>
      <c r="E237" s="211"/>
      <c r="F237" s="211"/>
      <c r="G237" s="211"/>
      <c r="H237" s="211"/>
      <c r="I237" s="211"/>
      <c r="J237" s="211"/>
      <c r="K237" s="211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</row>
    <row r="238" ht="15.75" customHeight="1" spans="1:26" x14ac:dyDescent="0.25">
      <c r="A238" s="177"/>
      <c r="B238" s="177"/>
      <c r="C238" s="211"/>
      <c r="D238" s="211"/>
      <c r="E238" s="211"/>
      <c r="F238" s="211"/>
      <c r="G238" s="211"/>
      <c r="H238" s="211"/>
      <c r="I238" s="211"/>
      <c r="J238" s="211"/>
      <c r="K238" s="211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</row>
    <row r="239" ht="15.75" customHeight="1" spans="1:26" x14ac:dyDescent="0.25">
      <c r="A239" s="177"/>
      <c r="B239" s="177"/>
      <c r="C239" s="211"/>
      <c r="D239" s="211"/>
      <c r="E239" s="211"/>
      <c r="F239" s="211"/>
      <c r="G239" s="211"/>
      <c r="H239" s="211"/>
      <c r="I239" s="211"/>
      <c r="J239" s="211"/>
      <c r="K239" s="211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</row>
    <row r="240" ht="15.75" customHeight="1" spans="1:26" x14ac:dyDescent="0.25">
      <c r="A240" s="177"/>
      <c r="B240" s="177"/>
      <c r="C240" s="211"/>
      <c r="D240" s="211"/>
      <c r="E240" s="211"/>
      <c r="F240" s="211"/>
      <c r="G240" s="211"/>
      <c r="H240" s="211"/>
      <c r="I240" s="211"/>
      <c r="J240" s="211"/>
      <c r="K240" s="211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</row>
    <row r="241" ht="15.75" customHeight="1" spans="1:26" x14ac:dyDescent="0.25">
      <c r="A241" s="177"/>
      <c r="B241" s="177"/>
      <c r="C241" s="211"/>
      <c r="D241" s="211"/>
      <c r="E241" s="211"/>
      <c r="F241" s="211"/>
      <c r="G241" s="211"/>
      <c r="H241" s="211"/>
      <c r="I241" s="211"/>
      <c r="J241" s="211"/>
      <c r="K241" s="211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</row>
    <row r="242" ht="15.75" customHeight="1" spans="1:26" x14ac:dyDescent="0.25">
      <c r="A242" s="177"/>
      <c r="B242" s="177"/>
      <c r="C242" s="211"/>
      <c r="D242" s="211"/>
      <c r="E242" s="211"/>
      <c r="F242" s="211"/>
      <c r="G242" s="211"/>
      <c r="H242" s="211"/>
      <c r="I242" s="211"/>
      <c r="J242" s="211"/>
      <c r="K242" s="211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</row>
    <row r="243" ht="15.75" customHeight="1" spans="1:26" x14ac:dyDescent="0.25">
      <c r="A243" s="177"/>
      <c r="B243" s="177"/>
      <c r="C243" s="211"/>
      <c r="D243" s="211"/>
      <c r="E243" s="211"/>
      <c r="F243" s="211"/>
      <c r="G243" s="211"/>
      <c r="H243" s="211"/>
      <c r="I243" s="211"/>
      <c r="J243" s="211"/>
      <c r="K243" s="211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</row>
    <row r="244" ht="15.75" customHeight="1" spans="1:26" x14ac:dyDescent="0.25">
      <c r="A244" s="177"/>
      <c r="B244" s="177"/>
      <c r="C244" s="211"/>
      <c r="D244" s="211"/>
      <c r="E244" s="211"/>
      <c r="F244" s="211"/>
      <c r="G244" s="211"/>
      <c r="H244" s="211"/>
      <c r="I244" s="211"/>
      <c r="J244" s="211"/>
      <c r="K244" s="211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</row>
    <row r="245" ht="15.75" customHeight="1" spans="1:26" x14ac:dyDescent="0.25">
      <c r="A245" s="177"/>
      <c r="B245" s="177"/>
      <c r="C245" s="211"/>
      <c r="D245" s="211"/>
      <c r="E245" s="211"/>
      <c r="F245" s="211"/>
      <c r="G245" s="211"/>
      <c r="H245" s="211"/>
      <c r="I245" s="211"/>
      <c r="J245" s="211"/>
      <c r="K245" s="211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</row>
    <row r="246" ht="15.75" customHeight="1" spans="1:26" x14ac:dyDescent="0.25">
      <c r="A246" s="177"/>
      <c r="B246" s="177"/>
      <c r="C246" s="211"/>
      <c r="D246" s="211"/>
      <c r="E246" s="211"/>
      <c r="F246" s="211"/>
      <c r="G246" s="211"/>
      <c r="H246" s="211"/>
      <c r="I246" s="211"/>
      <c r="J246" s="211"/>
      <c r="K246" s="211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</row>
    <row r="247" ht="15.75" customHeight="1" spans="1:26" x14ac:dyDescent="0.25">
      <c r="A247" s="177"/>
      <c r="B247" s="177"/>
      <c r="C247" s="211"/>
      <c r="D247" s="211"/>
      <c r="E247" s="211"/>
      <c r="F247" s="211"/>
      <c r="G247" s="211"/>
      <c r="H247" s="211"/>
      <c r="I247" s="211"/>
      <c r="J247" s="211"/>
      <c r="K247" s="211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</row>
    <row r="248" ht="15.75" customHeight="1" spans="1:26" x14ac:dyDescent="0.25">
      <c r="A248" s="177"/>
      <c r="B248" s="177"/>
      <c r="C248" s="211"/>
      <c r="D248" s="211"/>
      <c r="E248" s="211"/>
      <c r="F248" s="211"/>
      <c r="G248" s="211"/>
      <c r="H248" s="211"/>
      <c r="I248" s="211"/>
      <c r="J248" s="211"/>
      <c r="K248" s="211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</row>
    <row r="249" ht="15.75" customHeight="1" spans="1:26" x14ac:dyDescent="0.25">
      <c r="A249" s="177"/>
      <c r="B249" s="177"/>
      <c r="C249" s="211"/>
      <c r="D249" s="211"/>
      <c r="E249" s="211"/>
      <c r="F249" s="211"/>
      <c r="G249" s="211"/>
      <c r="H249" s="211"/>
      <c r="I249" s="211"/>
      <c r="J249" s="211"/>
      <c r="K249" s="211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</row>
    <row r="250" ht="15.75" customHeight="1" spans="1:26" x14ac:dyDescent="0.25">
      <c r="A250" s="177"/>
      <c r="B250" s="177"/>
      <c r="C250" s="211"/>
      <c r="D250" s="211"/>
      <c r="E250" s="211"/>
      <c r="F250" s="211"/>
      <c r="G250" s="211"/>
      <c r="H250" s="211"/>
      <c r="I250" s="211"/>
      <c r="J250" s="211"/>
      <c r="K250" s="211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</row>
    <row r="251" ht="15.75" customHeight="1" spans="1:26" x14ac:dyDescent="0.25">
      <c r="A251" s="177"/>
      <c r="B251" s="177"/>
      <c r="C251" s="211"/>
      <c r="D251" s="211"/>
      <c r="E251" s="211"/>
      <c r="F251" s="211"/>
      <c r="G251" s="211"/>
      <c r="H251" s="211"/>
      <c r="I251" s="211"/>
      <c r="J251" s="211"/>
      <c r="K251" s="211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</row>
    <row r="252" ht="15.75" customHeight="1" spans="1:26" x14ac:dyDescent="0.25">
      <c r="A252" s="177"/>
      <c r="B252" s="177"/>
      <c r="C252" s="211"/>
      <c r="D252" s="211"/>
      <c r="E252" s="211"/>
      <c r="F252" s="211"/>
      <c r="G252" s="211"/>
      <c r="H252" s="211"/>
      <c r="I252" s="211"/>
      <c r="J252" s="211"/>
      <c r="K252" s="211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</row>
    <row r="253" ht="15.75" customHeight="1" spans="1:26" x14ac:dyDescent="0.25">
      <c r="A253" s="177"/>
      <c r="B253" s="177"/>
      <c r="C253" s="211"/>
      <c r="D253" s="211"/>
      <c r="E253" s="211"/>
      <c r="F253" s="211"/>
      <c r="G253" s="211"/>
      <c r="H253" s="211"/>
      <c r="I253" s="211"/>
      <c r="J253" s="211"/>
      <c r="K253" s="211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</row>
    <row r="254" ht="15.75" customHeight="1" spans="1:26" x14ac:dyDescent="0.25">
      <c r="A254" s="177"/>
      <c r="B254" s="177"/>
      <c r="C254" s="211"/>
      <c r="D254" s="211"/>
      <c r="E254" s="211"/>
      <c r="F254" s="211"/>
      <c r="G254" s="211"/>
      <c r="H254" s="211"/>
      <c r="I254" s="211"/>
      <c r="J254" s="211"/>
      <c r="K254" s="211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</row>
    <row r="255" ht="15.75" customHeight="1" spans="1:26" x14ac:dyDescent="0.25">
      <c r="A255" s="177"/>
      <c r="B255" s="177"/>
      <c r="C255" s="211"/>
      <c r="D255" s="211"/>
      <c r="E255" s="211"/>
      <c r="F255" s="211"/>
      <c r="G255" s="211"/>
      <c r="H255" s="211"/>
      <c r="I255" s="211"/>
      <c r="J255" s="211"/>
      <c r="K255" s="211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</row>
    <row r="256" ht="15.75" customHeight="1" spans="1:26" x14ac:dyDescent="0.25">
      <c r="A256" s="177"/>
      <c r="B256" s="177"/>
      <c r="C256" s="211"/>
      <c r="D256" s="211"/>
      <c r="E256" s="211"/>
      <c r="F256" s="211"/>
      <c r="G256" s="211"/>
      <c r="H256" s="211"/>
      <c r="I256" s="211"/>
      <c r="J256" s="211"/>
      <c r="K256" s="211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</row>
    <row r="257" ht="15.75" customHeight="1" spans="1:26" x14ac:dyDescent="0.25">
      <c r="A257" s="177"/>
      <c r="B257" s="177"/>
      <c r="C257" s="211"/>
      <c r="D257" s="211"/>
      <c r="E257" s="211"/>
      <c r="F257" s="211"/>
      <c r="G257" s="211"/>
      <c r="H257" s="211"/>
      <c r="I257" s="211"/>
      <c r="J257" s="211"/>
      <c r="K257" s="211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</row>
    <row r="258" ht="15.75" customHeight="1" spans="1:26" x14ac:dyDescent="0.25">
      <c r="A258" s="177"/>
      <c r="B258" s="177"/>
      <c r="C258" s="211"/>
      <c r="D258" s="211"/>
      <c r="E258" s="211"/>
      <c r="F258" s="211"/>
      <c r="G258" s="211"/>
      <c r="H258" s="211"/>
      <c r="I258" s="211"/>
      <c r="J258" s="211"/>
      <c r="K258" s="211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</row>
    <row r="259" ht="15.75" customHeight="1" spans="1:26" x14ac:dyDescent="0.25">
      <c r="A259" s="177"/>
      <c r="B259" s="177"/>
      <c r="C259" s="211"/>
      <c r="D259" s="211"/>
      <c r="E259" s="211"/>
      <c r="F259" s="211"/>
      <c r="G259" s="211"/>
      <c r="H259" s="211"/>
      <c r="I259" s="211"/>
      <c r="J259" s="211"/>
      <c r="K259" s="211"/>
      <c r="L259" s="177"/>
      <c r="M259" s="177"/>
      <c r="N259" s="177"/>
      <c r="O259" s="177"/>
      <c r="P259" s="177"/>
      <c r="Q259" s="177"/>
      <c r="R259" s="177"/>
      <c r="S259" s="177"/>
      <c r="T259" s="177"/>
      <c r="U259" s="177"/>
      <c r="V259" s="177"/>
      <c r="W259" s="177"/>
      <c r="X259" s="177"/>
      <c r="Y259" s="177"/>
      <c r="Z259" s="177"/>
    </row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30</v>
      </c>
      <c r="D4" s="193">
        <v>20</v>
      </c>
      <c r="E4" s="193">
        <v>100</v>
      </c>
      <c r="F4" s="194">
        <v>100</v>
      </c>
      <c r="G4" s="193">
        <v>75</v>
      </c>
      <c r="H4" s="193">
        <v>75</v>
      </c>
      <c r="I4" s="193">
        <v>75</v>
      </c>
      <c r="J4" s="194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50</v>
      </c>
      <c r="D5" s="198">
        <v>50</v>
      </c>
      <c r="E5" s="198">
        <v>100</v>
      </c>
      <c r="F5" s="199">
        <v>50</v>
      </c>
      <c r="G5" s="198">
        <v>70</v>
      </c>
      <c r="H5" s="198">
        <v>75</v>
      </c>
      <c r="I5" s="198">
        <v>75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30</v>
      </c>
      <c r="D6" s="198">
        <v>100</v>
      </c>
      <c r="E6" s="198">
        <v>100</v>
      </c>
      <c r="F6" s="199">
        <v>50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80</v>
      </c>
      <c r="D7" s="198">
        <v>100</v>
      </c>
      <c r="E7" s="198">
        <v>100</v>
      </c>
      <c r="F7" s="199">
        <v>80</v>
      </c>
      <c r="G7" s="198">
        <v>75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80</v>
      </c>
      <c r="D8" s="198">
        <v>100</v>
      </c>
      <c r="E8" s="198">
        <v>100</v>
      </c>
      <c r="F8" s="199">
        <v>50</v>
      </c>
      <c r="G8" s="198" t="s">
        <v>36</v>
      </c>
      <c r="H8" s="198" t="s">
        <v>36</v>
      </c>
      <c r="I8" s="198" t="s">
        <v>36</v>
      </c>
      <c r="J8" s="199" t="s">
        <v>36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80</v>
      </c>
      <c r="D9" s="198">
        <v>100</v>
      </c>
      <c r="E9" s="198">
        <v>100</v>
      </c>
      <c r="F9" s="199">
        <v>50</v>
      </c>
      <c r="G9" s="198" t="s">
        <v>36</v>
      </c>
      <c r="H9" s="198" t="s">
        <v>36</v>
      </c>
      <c r="I9" s="198" t="s">
        <v>36</v>
      </c>
      <c r="J9" s="199" t="s">
        <v>36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80</v>
      </c>
      <c r="D10" s="198">
        <v>60</v>
      </c>
      <c r="E10" s="198">
        <v>50</v>
      </c>
      <c r="F10" s="199">
        <v>50</v>
      </c>
      <c r="G10" s="198">
        <v>75</v>
      </c>
      <c r="H10" s="198">
        <v>75</v>
      </c>
      <c r="I10" s="198">
        <v>75</v>
      </c>
      <c r="J10" s="199">
        <v>70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80</v>
      </c>
      <c r="D11" s="198">
        <v>60</v>
      </c>
      <c r="E11" s="198">
        <v>50</v>
      </c>
      <c r="F11" s="199">
        <v>50</v>
      </c>
      <c r="G11" s="198">
        <v>75</v>
      </c>
      <c r="H11" s="198">
        <v>75</v>
      </c>
      <c r="I11" s="198">
        <v>75</v>
      </c>
      <c r="J11" s="199">
        <v>70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40</v>
      </c>
      <c r="D12" s="198">
        <v>70</v>
      </c>
      <c r="E12" s="198" t="s">
        <v>877</v>
      </c>
      <c r="F12" s="199">
        <v>50</v>
      </c>
      <c r="G12" s="198" t="s">
        <v>36</v>
      </c>
      <c r="H12" s="198" t="s">
        <v>36</v>
      </c>
      <c r="I12" s="198" t="s">
        <v>36</v>
      </c>
      <c r="J12" s="199" t="s">
        <v>36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198">
        <v>40</v>
      </c>
      <c r="D13" s="198">
        <v>70</v>
      </c>
      <c r="E13" s="198">
        <v>70</v>
      </c>
      <c r="F13" s="199">
        <v>50</v>
      </c>
      <c r="G13" s="198">
        <v>75</v>
      </c>
      <c r="H13" s="198">
        <v>75</v>
      </c>
      <c r="I13" s="198">
        <v>75</v>
      </c>
      <c r="J13" s="199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198">
        <v>40</v>
      </c>
      <c r="D14" s="198">
        <v>70</v>
      </c>
      <c r="E14" s="198">
        <v>70</v>
      </c>
      <c r="F14" s="199">
        <v>50</v>
      </c>
      <c r="G14" s="198">
        <v>75</v>
      </c>
      <c r="H14" s="198">
        <v>75</v>
      </c>
      <c r="I14" s="198">
        <v>75</v>
      </c>
      <c r="J14" s="199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568.7727273</v>
      </c>
      <c r="C16" s="229">
        <f t="shared" ref="C16:K16" si="0">IFERROR(AVERAGE(C4:C15),0)</f>
        <v>57.27272727</v>
      </c>
      <c r="D16" s="229">
        <f t="shared" si="0"/>
        <v>72.72727273</v>
      </c>
      <c r="E16" s="229">
        <f t="shared" si="0"/>
        <v>84</v>
      </c>
      <c r="F16" s="229">
        <f t="shared" si="0"/>
        <v>57.27272727</v>
      </c>
      <c r="G16" s="229">
        <f t="shared" si="0"/>
        <v>74.375</v>
      </c>
      <c r="H16" s="229">
        <f t="shared" si="0"/>
        <v>75</v>
      </c>
      <c r="I16" s="229">
        <f t="shared" si="0"/>
        <v>75</v>
      </c>
      <c r="J16" s="229">
        <f t="shared" si="0"/>
        <v>73.125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50</v>
      </c>
      <c r="D4" s="193">
        <v>100</v>
      </c>
      <c r="E4" s="193">
        <v>100</v>
      </c>
      <c r="F4" s="194">
        <v>50</v>
      </c>
      <c r="G4" s="193">
        <v>75</v>
      </c>
      <c r="H4" s="193">
        <v>75</v>
      </c>
      <c r="I4" s="193">
        <v>75</v>
      </c>
      <c r="J4" s="194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50</v>
      </c>
      <c r="D5" s="198">
        <v>100</v>
      </c>
      <c r="E5" s="198">
        <v>100</v>
      </c>
      <c r="F5" s="199">
        <v>50</v>
      </c>
      <c r="G5" s="198">
        <v>75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50</v>
      </c>
      <c r="D6" s="198">
        <v>50</v>
      </c>
      <c r="E6" s="198">
        <v>100</v>
      </c>
      <c r="F6" s="199">
        <v>20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80</v>
      </c>
      <c r="D7" s="198">
        <v>100</v>
      </c>
      <c r="E7" s="198">
        <v>100</v>
      </c>
      <c r="F7" s="199">
        <v>50</v>
      </c>
      <c r="G7" s="198">
        <v>75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50</v>
      </c>
      <c r="D8" s="198">
        <v>100</v>
      </c>
      <c r="E8" s="198">
        <v>100</v>
      </c>
      <c r="F8" s="199">
        <v>80</v>
      </c>
      <c r="G8" s="198" t="s">
        <v>36</v>
      </c>
      <c r="H8" s="198" t="s">
        <v>36</v>
      </c>
      <c r="I8" s="198" t="s">
        <v>36</v>
      </c>
      <c r="J8" s="199" t="s">
        <v>36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80</v>
      </c>
      <c r="D9" s="198">
        <v>100</v>
      </c>
      <c r="E9" s="198">
        <v>100</v>
      </c>
      <c r="F9" s="199">
        <v>50</v>
      </c>
      <c r="G9" s="198" t="s">
        <v>36</v>
      </c>
      <c r="H9" s="198" t="s">
        <v>36</v>
      </c>
      <c r="I9" s="198" t="s">
        <v>36</v>
      </c>
      <c r="J9" s="199" t="s">
        <v>36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40</v>
      </c>
      <c r="D10" s="198">
        <v>60</v>
      </c>
      <c r="E10" s="198">
        <v>60</v>
      </c>
      <c r="F10" s="199">
        <v>50</v>
      </c>
      <c r="G10" s="198">
        <v>75</v>
      </c>
      <c r="H10" s="198">
        <v>75</v>
      </c>
      <c r="I10" s="198">
        <v>75</v>
      </c>
      <c r="J10" s="199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40</v>
      </c>
      <c r="D11" s="198">
        <v>60</v>
      </c>
      <c r="E11" s="198">
        <v>60</v>
      </c>
      <c r="F11" s="199">
        <v>50</v>
      </c>
      <c r="G11" s="198">
        <v>75</v>
      </c>
      <c r="H11" s="198">
        <v>75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80</v>
      </c>
      <c r="D12" s="198">
        <v>70</v>
      </c>
      <c r="E12" s="198">
        <v>80</v>
      </c>
      <c r="F12" s="199">
        <v>50</v>
      </c>
      <c r="G12" s="198" t="s">
        <v>36</v>
      </c>
      <c r="H12" s="198" t="s">
        <v>36</v>
      </c>
      <c r="I12" s="198" t="s">
        <v>36</v>
      </c>
      <c r="J12" s="199" t="s">
        <v>36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198">
        <v>80</v>
      </c>
      <c r="D13" s="198">
        <v>70</v>
      </c>
      <c r="E13" s="198">
        <v>80</v>
      </c>
      <c r="F13" s="199">
        <v>50</v>
      </c>
      <c r="G13" s="198">
        <v>75</v>
      </c>
      <c r="H13" s="198">
        <v>75</v>
      </c>
      <c r="I13" s="198">
        <v>75</v>
      </c>
      <c r="J13" s="199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198">
        <v>80</v>
      </c>
      <c r="D14" s="198">
        <v>70</v>
      </c>
      <c r="E14" s="198">
        <v>80</v>
      </c>
      <c r="F14" s="199">
        <v>50</v>
      </c>
      <c r="G14" s="198">
        <v>75</v>
      </c>
      <c r="H14" s="198">
        <v>75</v>
      </c>
      <c r="I14" s="198">
        <v>75</v>
      </c>
      <c r="J14" s="199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579.0909091</v>
      </c>
      <c r="C16" s="229">
        <f t="shared" ref="C16:K16" si="0">IFERROR(AVERAGE(C4:C15),0)</f>
        <v>61.81818182</v>
      </c>
      <c r="D16" s="229">
        <f t="shared" si="0"/>
        <v>80</v>
      </c>
      <c r="E16" s="229">
        <f t="shared" si="0"/>
        <v>87.27272727</v>
      </c>
      <c r="F16" s="229">
        <f t="shared" si="0"/>
        <v>50</v>
      </c>
      <c r="G16" s="229">
        <f t="shared" si="0"/>
        <v>75</v>
      </c>
      <c r="H16" s="229">
        <f t="shared" si="0"/>
        <v>75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</v>
      </c>
      <c r="D4" s="193">
        <v>20</v>
      </c>
      <c r="E4" s="193">
        <v>100</v>
      </c>
      <c r="F4" s="194">
        <v>20</v>
      </c>
      <c r="G4" s="193">
        <v>75</v>
      </c>
      <c r="H4" s="193">
        <v>75</v>
      </c>
      <c r="I4" s="193">
        <v>75</v>
      </c>
      <c r="J4" s="194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100</v>
      </c>
      <c r="D5" s="198">
        <v>100</v>
      </c>
      <c r="E5" s="198">
        <v>100</v>
      </c>
      <c r="F5" s="199">
        <v>50</v>
      </c>
      <c r="G5" s="198">
        <v>75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100</v>
      </c>
      <c r="D6" s="198">
        <v>50</v>
      </c>
      <c r="E6" s="198">
        <v>100</v>
      </c>
      <c r="F6" s="199">
        <v>20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80</v>
      </c>
      <c r="D7" s="198">
        <v>100</v>
      </c>
      <c r="E7" s="198">
        <v>100</v>
      </c>
      <c r="F7" s="199">
        <v>50</v>
      </c>
      <c r="G7" s="198">
        <v>75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80</v>
      </c>
      <c r="D8" s="198">
        <v>100</v>
      </c>
      <c r="E8" s="198">
        <v>100</v>
      </c>
      <c r="F8" s="199">
        <v>100</v>
      </c>
      <c r="G8" s="198" t="s">
        <v>36</v>
      </c>
      <c r="H8" s="198" t="s">
        <v>36</v>
      </c>
      <c r="I8" s="198" t="s">
        <v>36</v>
      </c>
      <c r="J8" s="199" t="s">
        <v>36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80</v>
      </c>
      <c r="D9" s="198">
        <v>100</v>
      </c>
      <c r="E9" s="198">
        <v>100</v>
      </c>
      <c r="F9" s="199">
        <v>80</v>
      </c>
      <c r="G9" s="198" t="s">
        <v>36</v>
      </c>
      <c r="H9" s="198" t="s">
        <v>36</v>
      </c>
      <c r="I9" s="198" t="s">
        <v>36</v>
      </c>
      <c r="J9" s="199" t="s">
        <v>36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30</v>
      </c>
      <c r="D10" s="198">
        <v>50</v>
      </c>
      <c r="E10" s="198">
        <v>40</v>
      </c>
      <c r="F10" s="199">
        <v>50</v>
      </c>
      <c r="G10" s="198">
        <v>75</v>
      </c>
      <c r="H10" s="198">
        <v>75</v>
      </c>
      <c r="I10" s="198">
        <v>75</v>
      </c>
      <c r="J10" s="199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30</v>
      </c>
      <c r="D11" s="198">
        <v>50</v>
      </c>
      <c r="E11" s="198">
        <v>40</v>
      </c>
      <c r="F11" s="199">
        <v>50</v>
      </c>
      <c r="G11" s="198">
        <v>75</v>
      </c>
      <c r="H11" s="198">
        <v>75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70</v>
      </c>
      <c r="D12" s="198">
        <v>70</v>
      </c>
      <c r="E12" s="198">
        <v>60</v>
      </c>
      <c r="F12" s="199">
        <v>50</v>
      </c>
      <c r="G12" s="198" t="s">
        <v>36</v>
      </c>
      <c r="H12" s="198" t="s">
        <v>36</v>
      </c>
      <c r="I12" s="198" t="s">
        <v>36</v>
      </c>
      <c r="J12" s="199" t="s">
        <v>36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198">
        <v>70</v>
      </c>
      <c r="D13" s="198">
        <v>70</v>
      </c>
      <c r="E13" s="198">
        <v>60</v>
      </c>
      <c r="F13" s="199">
        <v>50</v>
      </c>
      <c r="G13" s="198">
        <v>75</v>
      </c>
      <c r="H13" s="198">
        <v>75</v>
      </c>
      <c r="I13" s="198">
        <v>75</v>
      </c>
      <c r="J13" s="199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198">
        <v>70</v>
      </c>
      <c r="D14" s="198">
        <v>70</v>
      </c>
      <c r="E14" s="198">
        <v>60</v>
      </c>
      <c r="F14" s="199">
        <v>50</v>
      </c>
      <c r="G14" s="198">
        <v>75</v>
      </c>
      <c r="H14" s="198">
        <v>75</v>
      </c>
      <c r="I14" s="198">
        <v>75</v>
      </c>
      <c r="J14" s="199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567.2727273</v>
      </c>
      <c r="C16" s="229">
        <f t="shared" ref="C16:K16" si="0">IFERROR(AVERAGE(C4:C15),0)</f>
        <v>66.36363636</v>
      </c>
      <c r="D16" s="229">
        <f t="shared" si="0"/>
        <v>70.90909091</v>
      </c>
      <c r="E16" s="229">
        <f t="shared" si="0"/>
        <v>78.18181818</v>
      </c>
      <c r="F16" s="229">
        <f t="shared" si="0"/>
        <v>51.81818182</v>
      </c>
      <c r="G16" s="229">
        <f t="shared" si="0"/>
        <v>75</v>
      </c>
      <c r="H16" s="229">
        <f t="shared" si="0"/>
        <v>75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  <outlinePr summaryBelow="0" summaryRight="0"/>
  </sheetPr>
  <dimension ref="A1:U1000"/>
  <sheetViews>
    <sheetView workbookViewId="0" rightToLeft="1" zoomScale="100" zoomScaleNormal="100">
      <pane xSplit="1" ySplit="1" topLeftCell="B2" activePane="bottomRight" state="frozen"/>
      <selection pane="bottomRight" activeCell="B2" sqref="B2"/>
    </sheetView>
  </sheetViews>
  <sheetFormatPr defaultRowHeight="15" outlineLevelRow="0" outlineLevelCol="0" x14ac:dyDescent="0" defaultColWidth="12.63"/>
  <cols>
    <col min="1" max="1" width="10.63" customWidth="1"/>
    <col min="2" max="6" width="12.63" customWidth="1"/>
    <col min="12" max="12" width="0.38" customWidth="1"/>
    <col min="13" max="13" width="9.63" customWidth="1"/>
    <col min="14" max="14" width="0.38" customWidth="1"/>
    <col min="15" max="15" width="14.38" customWidth="1"/>
    <col min="17" max="17" width="26.25" customWidth="1"/>
    <col min="18" max="18" width="32.75" customWidth="1"/>
    <col min="19" max="19" width="28.63" customWidth="1"/>
    <col min="20" max="20" width="25.25" customWidth="1"/>
    <col min="21" max="21" width="22" customWidth="1"/>
  </cols>
  <sheetData>
    <row r="1" ht="15.75" customHeight="1" spans="1:21" x14ac:dyDescent="0.25">
      <c r="A1" s="53" t="s">
        <v>7</v>
      </c>
      <c r="B1" s="54" t="s">
        <v>134</v>
      </c>
      <c r="C1" s="54" t="s">
        <v>135</v>
      </c>
      <c r="D1" s="54" t="s">
        <v>136</v>
      </c>
      <c r="E1" s="54" t="s">
        <v>137</v>
      </c>
      <c r="F1" s="54" t="s">
        <v>138</v>
      </c>
      <c r="G1" s="54" t="s">
        <v>139</v>
      </c>
      <c r="H1" s="54" t="s">
        <v>140</v>
      </c>
      <c r="I1" s="54" t="s">
        <v>141</v>
      </c>
      <c r="J1" s="54" t="s">
        <v>142</v>
      </c>
      <c r="K1" s="54" t="s">
        <v>143</v>
      </c>
      <c r="L1" s="55" t="s">
        <v>7</v>
      </c>
      <c r="M1" s="56" t="s">
        <v>8</v>
      </c>
      <c r="N1" s="57" t="s">
        <v>144</v>
      </c>
      <c r="O1" s="58" t="s">
        <v>145</v>
      </c>
      <c r="P1" s="59" t="s">
        <v>6</v>
      </c>
      <c r="Q1" s="54" t="s">
        <v>9</v>
      </c>
      <c r="R1" s="54" t="s">
        <v>146</v>
      </c>
      <c r="S1" s="54" t="s">
        <v>147</v>
      </c>
      <c r="T1" s="54" t="s">
        <v>11</v>
      </c>
      <c r="U1" s="60" t="s">
        <v>12</v>
      </c>
    </row>
    <row r="2" ht="15.75" customHeight="1" spans="1:21" x14ac:dyDescent="0.25">
      <c r="A2" s="61" t="s">
        <v>148</v>
      </c>
      <c r="B2" s="62">
        <f>'الغرفة 1'!C16</f>
        <v>246.6666667</v>
      </c>
      <c r="C2" s="62">
        <f>'الغرفة 1'!D16</f>
        <v>67.27272727</v>
      </c>
      <c r="D2" s="62">
        <f>'الغرفة 1'!E16</f>
        <v>60</v>
      </c>
      <c r="E2" s="62">
        <f>'الغرفة 1'!F16</f>
        <v>63.63636364</v>
      </c>
      <c r="F2" s="62">
        <f>'الغرفة 1'!G16</f>
        <v>75</v>
      </c>
      <c r="G2" s="62">
        <f>'الغرفة 1'!H16</f>
        <v>70</v>
      </c>
      <c r="H2" s="62">
        <f>'الغرفة 1'!I16</f>
        <v>65</v>
      </c>
      <c r="I2" s="62">
        <f>'الغرفة 1'!J16</f>
        <v>55</v>
      </c>
      <c r="J2" s="62">
        <f>'الغرفة 1'!K16</f>
        <v>0</v>
      </c>
      <c r="K2" s="63"/>
      <c r="L2" s="64">
        <v>1</v>
      </c>
      <c r="M2" s="65">
        <f t="shared" ref="M2:M84" si="0">sum(B2:J2)</f>
        <v>702.5757576</v>
      </c>
      <c r="N2" s="66">
        <f t="shared" ref="N2:N10" si="1">IF(M2=0,"",RANK(M2,$M$2:$M$10,0))</f>
        <v>7</v>
      </c>
      <c r="O2" s="67">
        <f t="shared" ref="O2:O10" si="2">IF(N2=1,"أحسن الغرف",IF(N2=9,"أدنى الغرف",""))</f>
      </c>
      <c r="P2" s="68" t="s">
        <v>149</v>
      </c>
      <c r="Q2" s="69" t="s">
        <v>150</v>
      </c>
      <c r="R2" s="70" t="s">
        <v>151</v>
      </c>
      <c r="S2" s="70" t="s">
        <v>152</v>
      </c>
      <c r="T2" s="70" t="s">
        <v>153</v>
      </c>
      <c r="U2" s="70" t="s">
        <v>154</v>
      </c>
    </row>
    <row r="3" ht="15.75" customHeight="1" spans="1:21" x14ac:dyDescent="0.25">
      <c r="A3" s="71" t="s">
        <v>155</v>
      </c>
      <c r="B3" s="72">
        <f>'الغرفة 2'!C16</f>
        <v>283.3333333</v>
      </c>
      <c r="C3" s="72">
        <f>'الغرفة 2'!D16</f>
        <v>64.58333333</v>
      </c>
      <c r="D3" s="72">
        <f>'الغرفة 2'!E16</f>
        <v>49.58333333</v>
      </c>
      <c r="E3" s="72">
        <f>'الغرفة 2'!F16</f>
        <v>67.91666667</v>
      </c>
      <c r="F3" s="72">
        <f>'الغرفة 2'!G16</f>
        <v>75</v>
      </c>
      <c r="G3" s="72">
        <f>'الغرفة 2'!H16</f>
        <v>75</v>
      </c>
      <c r="H3" s="72">
        <f>'الغرفة 2'!I16</f>
        <v>57.5</v>
      </c>
      <c r="I3" s="72">
        <f>'الغرفة 2'!J16</f>
        <v>75</v>
      </c>
      <c r="J3" s="72">
        <f>'الغرفة 2'!K16</f>
        <v>0</v>
      </c>
      <c r="K3" s="73"/>
      <c r="L3" s="74">
        <v>2</v>
      </c>
      <c r="M3" s="75">
        <f t="shared" si="0"/>
        <v>747.9166667</v>
      </c>
      <c r="N3" s="76">
        <f t="shared" si="1"/>
        <v>4</v>
      </c>
      <c r="O3" s="77">
        <f t="shared" si="2"/>
      </c>
      <c r="P3" s="78"/>
      <c r="Q3" s="79" t="s">
        <v>156</v>
      </c>
      <c r="R3" s="80" t="s">
        <v>157</v>
      </c>
      <c r="S3" s="80" t="s">
        <v>158</v>
      </c>
      <c r="T3" s="80" t="s">
        <v>159</v>
      </c>
      <c r="U3" s="80" t="s">
        <v>160</v>
      </c>
    </row>
    <row r="4" ht="15.75" customHeight="1" spans="1:21" x14ac:dyDescent="0.25">
      <c r="A4" s="71" t="s">
        <v>161</v>
      </c>
      <c r="B4" s="72">
        <f>'الغرفة 3'!C16</f>
        <v>220</v>
      </c>
      <c r="C4" s="72">
        <f>'الغرفة 3'!D16</f>
        <v>67.91666667</v>
      </c>
      <c r="D4" s="72">
        <f>'الغرفة 3'!E16</f>
        <v>44.41666667</v>
      </c>
      <c r="E4" s="72">
        <f>'الغرفة 3'!F16</f>
        <v>70.25</v>
      </c>
      <c r="F4" s="72">
        <f>'الغرفة 3'!G16</f>
        <v>75</v>
      </c>
      <c r="G4" s="72">
        <f>'الغرفة 3'!H16</f>
        <v>70</v>
      </c>
      <c r="H4" s="72">
        <f>'الغرفة 3'!I16</f>
        <v>75</v>
      </c>
      <c r="I4" s="72">
        <f>'الغرفة 3'!J16</f>
        <v>75</v>
      </c>
      <c r="J4" s="72">
        <f>'الغرفة 3'!K16</f>
        <v>0</v>
      </c>
      <c r="K4" s="73"/>
      <c r="L4" s="81" t="s">
        <v>161</v>
      </c>
      <c r="M4" s="75">
        <f t="shared" si="0"/>
        <v>697.5833333</v>
      </c>
      <c r="N4" s="76">
        <f t="shared" si="1"/>
        <v>8</v>
      </c>
      <c r="O4" s="77">
        <f t="shared" si="2"/>
      </c>
      <c r="P4" s="78"/>
      <c r="Q4" s="79" t="s">
        <v>162</v>
      </c>
      <c r="R4" s="80" t="s">
        <v>163</v>
      </c>
      <c r="S4" s="80" t="s">
        <v>164</v>
      </c>
      <c r="T4" s="80" t="s">
        <v>165</v>
      </c>
      <c r="U4" s="80" t="s">
        <v>166</v>
      </c>
    </row>
    <row r="5" ht="15.75" customHeight="1" spans="1:21" x14ac:dyDescent="0.25">
      <c r="A5" s="71" t="s">
        <v>167</v>
      </c>
      <c r="B5" s="82">
        <f>'الغرفة 4'!C16</f>
        <v>266.6666667</v>
      </c>
      <c r="C5" s="82">
        <f>'الغرفة 4'!D16</f>
        <v>85</v>
      </c>
      <c r="D5" s="82">
        <f>'الغرفة 4'!E16</f>
        <v>51.25</v>
      </c>
      <c r="E5" s="82">
        <f>'الغرفة 4'!F16</f>
        <v>70</v>
      </c>
      <c r="F5" s="82">
        <f>'الغرفة 4'!G16</f>
        <v>75</v>
      </c>
      <c r="G5" s="82">
        <f>'الغرفة 4'!H16</f>
        <v>72.5</v>
      </c>
      <c r="H5" s="82">
        <f>'الغرفة 4'!I16</f>
        <v>65</v>
      </c>
      <c r="I5" s="82">
        <f>'الغرفة 4'!J16</f>
        <v>55</v>
      </c>
      <c r="J5" s="82">
        <f>'الغرفة 4'!K16</f>
        <v>0</v>
      </c>
      <c r="K5" s="83"/>
      <c r="L5" s="84">
        <v>4</v>
      </c>
      <c r="M5" s="75">
        <f t="shared" si="0"/>
        <v>740.4166667</v>
      </c>
      <c r="N5" s="76">
        <f t="shared" si="1"/>
        <v>5</v>
      </c>
      <c r="O5" s="77">
        <f t="shared" si="2"/>
      </c>
      <c r="P5" s="78"/>
      <c r="Q5" s="85" t="s">
        <v>168</v>
      </c>
      <c r="R5" s="86" t="s">
        <v>169</v>
      </c>
      <c r="S5" s="86" t="s">
        <v>170</v>
      </c>
      <c r="T5" s="86" t="s">
        <v>171</v>
      </c>
      <c r="U5" s="86" t="s">
        <v>172</v>
      </c>
    </row>
    <row r="6" ht="15.75" customHeight="1" spans="1:21" x14ac:dyDescent="0.25">
      <c r="A6" s="71" t="s">
        <v>173</v>
      </c>
      <c r="B6" s="82">
        <f>'الغرفة 5'!C16</f>
        <v>220</v>
      </c>
      <c r="C6" s="82">
        <f>'الغرفة 5'!D16</f>
        <v>50</v>
      </c>
      <c r="D6" s="82">
        <f>'الغرفة 5'!E16</f>
        <v>31.66666667</v>
      </c>
      <c r="E6" s="82">
        <f>'الغرفة 5'!F16</f>
        <v>55.83333333</v>
      </c>
      <c r="F6" s="82">
        <f>'الغرفة 5'!G16</f>
        <v>75</v>
      </c>
      <c r="G6" s="82">
        <f>'الغرفة 5'!H16</f>
        <v>70</v>
      </c>
      <c r="H6" s="82">
        <f>'الغرفة 5'!I16</f>
        <v>67.5</v>
      </c>
      <c r="I6" s="82">
        <f>'الغرفة 5'!J16</f>
        <v>75</v>
      </c>
      <c r="J6" s="82">
        <f>'الغرفة 5'!K16</f>
        <v>0</v>
      </c>
      <c r="K6" s="83"/>
      <c r="L6" s="84">
        <v>5</v>
      </c>
      <c r="M6" s="75">
        <f t="shared" si="0"/>
        <v>645</v>
      </c>
      <c r="N6" s="76">
        <f t="shared" si="1"/>
        <v>9</v>
      </c>
      <c r="O6" s="77" t="str">
        <f t="shared" si="2"/>
        <v>أدنى الغرف</v>
      </c>
      <c r="P6" s="78"/>
      <c r="Q6" s="85" t="s">
        <v>174</v>
      </c>
      <c r="R6" s="86" t="s">
        <v>175</v>
      </c>
      <c r="S6" s="86" t="s">
        <v>176</v>
      </c>
      <c r="T6" s="86" t="s">
        <v>177</v>
      </c>
      <c r="U6" s="86" t="s">
        <v>178</v>
      </c>
    </row>
    <row r="7" ht="15.75" customHeight="1" spans="1:21" x14ac:dyDescent="0.25">
      <c r="A7" s="71" t="s">
        <v>179</v>
      </c>
      <c r="B7" s="82">
        <f>'الغرفة 6'!C16</f>
        <v>266.6666667</v>
      </c>
      <c r="C7" s="82">
        <f>'الغرفة 6'!D16</f>
        <v>64.58333333</v>
      </c>
      <c r="D7" s="82">
        <f>'الغرفة 6'!E16</f>
        <v>44.58333333</v>
      </c>
      <c r="E7" s="82">
        <f>'الغرفة 6'!F16</f>
        <v>67.08333333</v>
      </c>
      <c r="F7" s="82">
        <f>'الغرفة 6'!G16</f>
        <v>75</v>
      </c>
      <c r="G7" s="82">
        <f>'الغرفة 6'!H16</f>
        <v>70</v>
      </c>
      <c r="H7" s="82">
        <f>'الغرفة 6'!I16</f>
        <v>75</v>
      </c>
      <c r="I7" s="82">
        <f>'الغرفة 6'!J16</f>
        <v>75</v>
      </c>
      <c r="J7" s="82">
        <f>'الغرفة 6'!K16</f>
        <v>0</v>
      </c>
      <c r="K7" s="83"/>
      <c r="L7" s="84">
        <v>6</v>
      </c>
      <c r="M7" s="75">
        <f t="shared" si="0"/>
        <v>737.9166667</v>
      </c>
      <c r="N7" s="76">
        <f t="shared" si="1"/>
        <v>6</v>
      </c>
      <c r="O7" s="77">
        <f t="shared" si="2"/>
      </c>
      <c r="P7" s="78"/>
      <c r="Q7" s="85" t="s">
        <v>180</v>
      </c>
      <c r="R7" s="86" t="s">
        <v>181</v>
      </c>
      <c r="S7" s="86" t="s">
        <v>182</v>
      </c>
      <c r="T7" s="86" t="s">
        <v>183</v>
      </c>
      <c r="U7" s="86" t="s">
        <v>184</v>
      </c>
    </row>
    <row r="8" ht="15.75" customHeight="1" spans="1:21" x14ac:dyDescent="0.25">
      <c r="A8" s="71" t="s">
        <v>185</v>
      </c>
      <c r="B8" s="82">
        <f>'الغرفة 7'!C16</f>
        <v>293.3333333</v>
      </c>
      <c r="C8" s="82">
        <f>'الغرفة 7'!D16</f>
        <v>80.41666667</v>
      </c>
      <c r="D8" s="82">
        <f>'الغرفة 7'!E16</f>
        <v>58.75</v>
      </c>
      <c r="E8" s="82">
        <f>'الغرفة 7'!F16</f>
        <v>77.5</v>
      </c>
      <c r="F8" s="82">
        <f>'الغرفة 7'!G16</f>
        <v>75</v>
      </c>
      <c r="G8" s="82">
        <f>'الغرفة 7'!H16</f>
        <v>72.5</v>
      </c>
      <c r="H8" s="82">
        <f>'الغرفة 7'!I16</f>
        <v>37.5</v>
      </c>
      <c r="I8" s="82">
        <f>'الغرفة 7'!J16</f>
        <v>75</v>
      </c>
      <c r="J8" s="82">
        <f>'الغرفة 7'!K16</f>
        <v>0</v>
      </c>
      <c r="K8" s="83"/>
      <c r="L8" s="84">
        <v>7</v>
      </c>
      <c r="M8" s="75">
        <f t="shared" si="0"/>
        <v>770</v>
      </c>
      <c r="N8" s="76">
        <f t="shared" si="1"/>
        <v>2</v>
      </c>
      <c r="O8" s="77">
        <f t="shared" si="2"/>
      </c>
      <c r="P8" s="78"/>
      <c r="Q8" s="85" t="s">
        <v>186</v>
      </c>
      <c r="R8" s="86" t="s">
        <v>187</v>
      </c>
      <c r="S8" s="86" t="s">
        <v>188</v>
      </c>
      <c r="T8" s="86" t="s">
        <v>189</v>
      </c>
      <c r="U8" s="86" t="s">
        <v>190</v>
      </c>
    </row>
    <row r="9" ht="15.75" customHeight="1" spans="1:21" x14ac:dyDescent="0.25">
      <c r="A9" s="71" t="s">
        <v>191</v>
      </c>
      <c r="B9" s="82">
        <f>'الغرفة 8'!C16</f>
        <v>283.3333333</v>
      </c>
      <c r="C9" s="82">
        <f>'الغرفة 8'!D16</f>
        <v>79.16666667</v>
      </c>
      <c r="D9" s="82">
        <f>'الغرفة 8'!E16</f>
        <v>33.75</v>
      </c>
      <c r="E9" s="82">
        <f>'الغرفة 8'!F16</f>
        <v>58.75</v>
      </c>
      <c r="F9" s="82">
        <f>'الغرفة 8'!G16</f>
        <v>75</v>
      </c>
      <c r="G9" s="82">
        <f>'الغرفة 8'!H16</f>
        <v>75</v>
      </c>
      <c r="H9" s="82">
        <f>'الغرفة 8'!I16</f>
        <v>75</v>
      </c>
      <c r="I9" s="82">
        <f>'الغرفة 8'!J16</f>
        <v>75</v>
      </c>
      <c r="J9" s="82">
        <f>'الغرفة 8'!K16</f>
        <v>0</v>
      </c>
      <c r="K9" s="83"/>
      <c r="L9" s="84">
        <v>8</v>
      </c>
      <c r="M9" s="75">
        <f t="shared" si="0"/>
        <v>755</v>
      </c>
      <c r="N9" s="76">
        <f t="shared" si="1"/>
        <v>3</v>
      </c>
      <c r="O9" s="77">
        <f t="shared" si="2"/>
      </c>
      <c r="P9" s="78"/>
      <c r="Q9" s="85" t="s">
        <v>192</v>
      </c>
      <c r="R9" s="86" t="s">
        <v>193</v>
      </c>
      <c r="S9" s="87" t="s">
        <v>36</v>
      </c>
      <c r="T9" s="86" t="s">
        <v>194</v>
      </c>
      <c r="U9" s="86" t="s">
        <v>195</v>
      </c>
    </row>
    <row r="10" ht="15.75" customHeight="1" spans="1:21" x14ac:dyDescent="0.25">
      <c r="A10" s="88" t="s">
        <v>196</v>
      </c>
      <c r="B10" s="89">
        <f>'الغرفة 9'!C16</f>
        <v>290</v>
      </c>
      <c r="C10" s="89">
        <f>'الغرفة 9'!D16</f>
        <v>100</v>
      </c>
      <c r="D10" s="89">
        <f>'الغرفة 9'!E16</f>
        <v>48.33333333</v>
      </c>
      <c r="E10" s="89">
        <f>'الغرفة 9'!F16</f>
        <v>80.83333333</v>
      </c>
      <c r="F10" s="89">
        <f>'الغرفة 9'!G16</f>
        <v>75</v>
      </c>
      <c r="G10" s="89">
        <f>'الغرفة 9'!H16</f>
        <v>67.5</v>
      </c>
      <c r="H10" s="89">
        <f>'الغرفة 9'!I16</f>
        <v>37.5</v>
      </c>
      <c r="I10" s="89">
        <f>'الغرفة 9'!J16</f>
        <v>75</v>
      </c>
      <c r="J10" s="89">
        <f>'الغرفة 9'!K16</f>
        <v>0</v>
      </c>
      <c r="K10" s="90"/>
      <c r="L10" s="84">
        <v>9</v>
      </c>
      <c r="M10" s="91">
        <f t="shared" si="0"/>
        <v>774.1666667</v>
      </c>
      <c r="N10" s="92">
        <f t="shared" si="1"/>
        <v>1</v>
      </c>
      <c r="O10" s="93" t="str">
        <f t="shared" si="2"/>
        <v>أحسن الغرف</v>
      </c>
      <c r="P10" s="78"/>
      <c r="Q10" s="85" t="s">
        <v>197</v>
      </c>
      <c r="R10" s="86" t="s">
        <v>198</v>
      </c>
      <c r="S10" s="86" t="s">
        <v>199</v>
      </c>
      <c r="T10" s="86" t="s">
        <v>200</v>
      </c>
      <c r="U10" s="86" t="s">
        <v>201</v>
      </c>
    </row>
    <row r="11" ht="15.75" customHeight="1" spans="1:21" x14ac:dyDescent="0.25">
      <c r="A11" s="94" t="s">
        <v>202</v>
      </c>
      <c r="B11" s="95">
        <f>'الغرفة 10'!C16</f>
        <v>174.5</v>
      </c>
      <c r="C11" s="95">
        <f>'الغرفة 10'!D16</f>
        <v>93</v>
      </c>
      <c r="D11" s="95">
        <f>'الغرفة 10'!E16</f>
        <v>85</v>
      </c>
      <c r="E11" s="95">
        <f>'الغرفة 10'!F16</f>
        <v>71</v>
      </c>
      <c r="F11" s="95">
        <f>'الغرفة 10'!G16</f>
        <v>70</v>
      </c>
      <c r="G11" s="95">
        <f>'الغرفة 10'!H16</f>
        <v>70</v>
      </c>
      <c r="H11" s="95">
        <f>'الغرفة 10'!I16</f>
        <v>70</v>
      </c>
      <c r="I11" s="95">
        <f>'الغرفة 10'!J16</f>
        <v>70</v>
      </c>
      <c r="J11" s="95">
        <f>'الغرفة 10'!K16</f>
        <v>0</v>
      </c>
      <c r="K11" s="96"/>
      <c r="L11" s="84">
        <v>10</v>
      </c>
      <c r="M11" s="97">
        <f t="shared" si="0"/>
        <v>703.5</v>
      </c>
      <c r="N11" s="98">
        <f t="shared" ref="N11:N17" si="3">IF(M11=0,"",RANK(M11,$M$11:$M$17,0))</f>
        <v>1</v>
      </c>
      <c r="O11" s="99" t="str">
        <f t="shared" ref="O11:O17" si="4">IF(N11=1,"أحسن الغرف",IF(N11=7,"أدنى الغرف",""))</f>
        <v>أحسن الغرف</v>
      </c>
      <c r="P11" s="100" t="s">
        <v>203</v>
      </c>
      <c r="Q11" s="79" t="s">
        <v>204</v>
      </c>
      <c r="R11" s="80" t="s">
        <v>205</v>
      </c>
      <c r="S11" s="80" t="s">
        <v>206</v>
      </c>
      <c r="T11" s="80" t="s">
        <v>207</v>
      </c>
      <c r="U11" s="80" t="s">
        <v>208</v>
      </c>
    </row>
    <row r="12" ht="15.75" customHeight="1" spans="1:21" x14ac:dyDescent="0.25">
      <c r="A12" s="101" t="s">
        <v>209</v>
      </c>
      <c r="B12" s="102">
        <f>'الغرفة 11'!C16</f>
        <v>125</v>
      </c>
      <c r="C12" s="102">
        <f>'الغرفة 11'!D16</f>
        <v>64</v>
      </c>
      <c r="D12" s="102">
        <f>'الغرفة 11'!E16</f>
        <v>64.5</v>
      </c>
      <c r="E12" s="102">
        <f>'الغرفة 11'!F16</f>
        <v>54</v>
      </c>
      <c r="F12" s="102">
        <f>'الغرفة 11'!G16</f>
        <v>58</v>
      </c>
      <c r="G12" s="102">
        <f>'الغرفة 11'!H16</f>
        <v>61</v>
      </c>
      <c r="H12" s="102">
        <f>'الغرفة 11'!I16</f>
        <v>60</v>
      </c>
      <c r="I12" s="102">
        <f>'الغرفة 11'!J16</f>
        <v>59</v>
      </c>
      <c r="J12" s="102">
        <f>'الغرفة 11'!K16</f>
        <v>0</v>
      </c>
      <c r="K12" s="103"/>
      <c r="L12" s="84">
        <v>11</v>
      </c>
      <c r="M12" s="75">
        <f t="shared" si="0"/>
        <v>545.5</v>
      </c>
      <c r="N12" s="104">
        <f t="shared" si="3"/>
        <v>6</v>
      </c>
      <c r="O12" s="105">
        <f t="shared" si="4"/>
      </c>
      <c r="P12" s="78"/>
      <c r="Q12" s="79" t="s">
        <v>210</v>
      </c>
      <c r="R12" s="80" t="s">
        <v>211</v>
      </c>
      <c r="S12" s="80" t="s">
        <v>212</v>
      </c>
      <c r="T12" s="80" t="s">
        <v>213</v>
      </c>
      <c r="U12" s="80" t="s">
        <v>214</v>
      </c>
    </row>
    <row r="13" ht="15.75" customHeight="1" spans="1:21" x14ac:dyDescent="0.25">
      <c r="A13" s="101" t="s">
        <v>215</v>
      </c>
      <c r="B13" s="102">
        <f>'الغرفة 12'!C16</f>
        <v>123</v>
      </c>
      <c r="C13" s="102">
        <f>'الغرفة 12'!D16</f>
        <v>71.5</v>
      </c>
      <c r="D13" s="102">
        <f>'الغرفة 12'!E16</f>
        <v>63.5</v>
      </c>
      <c r="E13" s="102">
        <f>'الغرفة 12'!F16</f>
        <v>54.5</v>
      </c>
      <c r="F13" s="102">
        <f>'الغرفة 12'!G16</f>
        <v>59.5</v>
      </c>
      <c r="G13" s="102">
        <f>'الغرفة 12'!H16</f>
        <v>59.5</v>
      </c>
      <c r="H13" s="102">
        <f>'الغرفة 12'!I16</f>
        <v>60</v>
      </c>
      <c r="I13" s="102">
        <f>'الغرفة 12'!J16</f>
        <v>58.5</v>
      </c>
      <c r="J13" s="102">
        <f>'الغرفة 12'!K16</f>
        <v>0</v>
      </c>
      <c r="K13" s="103"/>
      <c r="L13" s="84">
        <v>12</v>
      </c>
      <c r="M13" s="75">
        <f t="shared" si="0"/>
        <v>550</v>
      </c>
      <c r="N13" s="104">
        <f t="shared" si="3"/>
        <v>5</v>
      </c>
      <c r="O13" s="105">
        <f t="shared" si="4"/>
      </c>
      <c r="P13" s="78"/>
      <c r="Q13" s="79" t="s">
        <v>216</v>
      </c>
      <c r="R13" s="80" t="s">
        <v>217</v>
      </c>
      <c r="S13" s="80" t="s">
        <v>218</v>
      </c>
      <c r="T13" s="80" t="s">
        <v>219</v>
      </c>
      <c r="U13" s="80" t="s">
        <v>220</v>
      </c>
    </row>
    <row r="14" ht="15.75" customHeight="1" spans="1:21" x14ac:dyDescent="0.25">
      <c r="A14" s="101" t="s">
        <v>221</v>
      </c>
      <c r="B14" s="102">
        <f>'الغرفة 13'!C16</f>
        <v>133.5</v>
      </c>
      <c r="C14" s="102">
        <f>'الغرفة 13'!D16</f>
        <v>67.5</v>
      </c>
      <c r="D14" s="102">
        <f>'الغرفة 13'!E16</f>
        <v>67.22222222</v>
      </c>
      <c r="E14" s="102">
        <f>'الغرفة 13'!F16</f>
        <v>58</v>
      </c>
      <c r="F14" s="102">
        <f>'الغرفة 13'!G16</f>
        <v>62.5</v>
      </c>
      <c r="G14" s="102">
        <f>'الغرفة 13'!H16</f>
        <v>62.5</v>
      </c>
      <c r="H14" s="102">
        <f>'الغرفة 13'!I16</f>
        <v>61</v>
      </c>
      <c r="I14" s="102">
        <f>'الغرفة 13'!J16</f>
        <v>66.5</v>
      </c>
      <c r="J14" s="102">
        <f>'الغرفة 13'!K16</f>
        <v>0</v>
      </c>
      <c r="K14" s="103"/>
      <c r="L14" s="84">
        <v>13</v>
      </c>
      <c r="M14" s="75">
        <f t="shared" si="0"/>
        <v>578.7222222</v>
      </c>
      <c r="N14" s="104">
        <f t="shared" si="3"/>
        <v>4</v>
      </c>
      <c r="O14" s="105">
        <f t="shared" si="4"/>
      </c>
      <c r="P14" s="78"/>
      <c r="Q14" s="79" t="s">
        <v>90</v>
      </c>
      <c r="R14" s="80" t="s">
        <v>222</v>
      </c>
      <c r="S14" s="80" t="s">
        <v>223</v>
      </c>
      <c r="T14" s="80" t="s">
        <v>224</v>
      </c>
      <c r="U14" s="80" t="s">
        <v>225</v>
      </c>
    </row>
    <row r="15" ht="15.75" customHeight="1" spans="1:21" x14ac:dyDescent="0.25">
      <c r="A15" s="101" t="s">
        <v>226</v>
      </c>
      <c r="B15" s="102">
        <f>'الغرفة 14'!C16</f>
        <v>105.5</v>
      </c>
      <c r="C15" s="102">
        <f>'الغرفة 14'!D16</f>
        <v>58</v>
      </c>
      <c r="D15" s="102">
        <f>'الغرفة 14'!E16</f>
        <v>61</v>
      </c>
      <c r="E15" s="102">
        <f>'الغرفة 14'!F16</f>
        <v>44.5</v>
      </c>
      <c r="F15" s="102">
        <f>'الغرفة 14'!G16</f>
        <v>59</v>
      </c>
      <c r="G15" s="102">
        <f>'الغرفة 14'!H16</f>
        <v>55</v>
      </c>
      <c r="H15" s="102">
        <f>'الغرفة 14'!I16</f>
        <v>59</v>
      </c>
      <c r="I15" s="102">
        <f>'الغرفة 14'!J16</f>
        <v>56.5</v>
      </c>
      <c r="J15" s="102">
        <f>'الغرفة 14'!K16</f>
        <v>0</v>
      </c>
      <c r="K15" s="103"/>
      <c r="L15" s="84">
        <v>14</v>
      </c>
      <c r="M15" s="75">
        <f t="shared" si="0"/>
        <v>498.5</v>
      </c>
      <c r="N15" s="104">
        <f t="shared" si="3"/>
        <v>7</v>
      </c>
      <c r="O15" s="105" t="str">
        <f t="shared" si="4"/>
        <v>أدنى الغرف</v>
      </c>
      <c r="P15" s="78"/>
      <c r="Q15" s="79" t="s">
        <v>227</v>
      </c>
      <c r="R15" s="80" t="s">
        <v>228</v>
      </c>
      <c r="S15" s="80" t="s">
        <v>229</v>
      </c>
      <c r="T15" s="80" t="s">
        <v>230</v>
      </c>
      <c r="U15" s="80" t="s">
        <v>231</v>
      </c>
    </row>
    <row r="16" ht="15.75" customHeight="1" spans="1:21" x14ac:dyDescent="0.25">
      <c r="A16" s="101" t="s">
        <v>232</v>
      </c>
      <c r="B16" s="102">
        <f>'الغرفة 15'!C16</f>
        <v>128</v>
      </c>
      <c r="C16" s="102">
        <f>'الغرفة 15'!D16</f>
        <v>70.5</v>
      </c>
      <c r="D16" s="102">
        <f>'الغرفة 15'!E16</f>
        <v>69.5</v>
      </c>
      <c r="E16" s="102">
        <f>'الغرفة 15'!F16</f>
        <v>61.5</v>
      </c>
      <c r="F16" s="102">
        <f>'الغرفة 15'!G16</f>
        <v>70</v>
      </c>
      <c r="G16" s="102">
        <f>'الغرفة 15'!H16</f>
        <v>68.5</v>
      </c>
      <c r="H16" s="102">
        <f>'الغرفة 15'!I16</f>
        <v>69</v>
      </c>
      <c r="I16" s="102">
        <f>'الغرفة 15'!J16</f>
        <v>69</v>
      </c>
      <c r="J16" s="102">
        <f>'الغرفة 15'!K16</f>
        <v>0</v>
      </c>
      <c r="K16" s="103"/>
      <c r="L16" s="84">
        <v>15</v>
      </c>
      <c r="M16" s="75">
        <f t="shared" si="0"/>
        <v>606</v>
      </c>
      <c r="N16" s="104">
        <f t="shared" si="3"/>
        <v>2</v>
      </c>
      <c r="O16" s="105">
        <f t="shared" si="4"/>
      </c>
      <c r="P16" s="78"/>
      <c r="Q16" s="79" t="s">
        <v>20</v>
      </c>
      <c r="R16" s="80" t="s">
        <v>233</v>
      </c>
      <c r="S16" s="80" t="s">
        <v>234</v>
      </c>
      <c r="T16" s="80" t="s">
        <v>235</v>
      </c>
      <c r="U16" s="80" t="s">
        <v>236</v>
      </c>
    </row>
    <row r="17" ht="15.75" customHeight="1" spans="1:21" x14ac:dyDescent="0.25">
      <c r="A17" s="106" t="s">
        <v>237</v>
      </c>
      <c r="B17" s="107">
        <f>'الغرفة 16'!C16</f>
        <v>121.5</v>
      </c>
      <c r="C17" s="107">
        <f>'الغرفة 16'!D16</f>
        <v>67.5</v>
      </c>
      <c r="D17" s="107">
        <f>'الغرفة 16'!E16</f>
        <v>68.5</v>
      </c>
      <c r="E17" s="107">
        <f>'الغرفة 16'!F16</f>
        <v>68</v>
      </c>
      <c r="F17" s="107">
        <f>'الغرفة 16'!G16</f>
        <v>62.5</v>
      </c>
      <c r="G17" s="107">
        <f>'الغرفة 16'!H16</f>
        <v>67.5</v>
      </c>
      <c r="H17" s="107">
        <f>'الغرفة 16'!I16</f>
        <v>68</v>
      </c>
      <c r="I17" s="107">
        <f>'الغرفة 16'!J16</f>
        <v>65</v>
      </c>
      <c r="J17" s="107">
        <f>'الغرفة 16'!K16</f>
        <v>0</v>
      </c>
      <c r="K17" s="108"/>
      <c r="L17" s="84">
        <v>16</v>
      </c>
      <c r="M17" s="91">
        <f t="shared" si="0"/>
        <v>588.5</v>
      </c>
      <c r="N17" s="109">
        <f t="shared" si="3"/>
        <v>3</v>
      </c>
      <c r="O17" s="110">
        <f t="shared" si="4"/>
      </c>
      <c r="P17" s="111"/>
      <c r="Q17" s="79" t="s">
        <v>238</v>
      </c>
      <c r="R17" s="80" t="s">
        <v>239</v>
      </c>
      <c r="S17" s="80" t="s">
        <v>240</v>
      </c>
      <c r="T17" s="80" t="s">
        <v>241</v>
      </c>
      <c r="U17" s="80" t="s">
        <v>242</v>
      </c>
    </row>
    <row r="18" ht="15.75" customHeight="1" spans="1:21" x14ac:dyDescent="0.25">
      <c r="A18" s="94" t="s">
        <v>243</v>
      </c>
      <c r="B18" s="95">
        <f>'الغرفة 17'!C16</f>
        <v>192.5</v>
      </c>
      <c r="C18" s="95">
        <f>'الغرفة 17'!D16</f>
        <v>100</v>
      </c>
      <c r="D18" s="95">
        <f>'الغرفة 17'!E16</f>
        <v>98</v>
      </c>
      <c r="E18" s="95">
        <f>'الغرفة 17'!F16</f>
        <v>96.75</v>
      </c>
      <c r="F18" s="95">
        <f>'الغرفة 17'!G16</f>
        <v>71.5</v>
      </c>
      <c r="G18" s="95">
        <f>'الغرفة 17'!H16</f>
        <v>68.25</v>
      </c>
      <c r="H18" s="95">
        <f>'الغرفة 17'!I16</f>
        <v>73.75</v>
      </c>
      <c r="I18" s="95">
        <f>'الغرفة 17'!J16</f>
        <v>72.66666667</v>
      </c>
      <c r="J18" s="95">
        <f>'الغرفة 17'!K16</f>
        <v>0</v>
      </c>
      <c r="K18" s="96"/>
      <c r="L18" s="84">
        <v>17</v>
      </c>
      <c r="M18" s="65">
        <f t="shared" si="0"/>
        <v>773.4166667</v>
      </c>
      <c r="N18" s="112">
        <f t="shared" ref="N18:N23" si="5">IF(M18=0,"",RANK(M18,$M$18:$M$23,0))</f>
        <v>5</v>
      </c>
      <c r="O18" s="113">
        <f t="shared" ref="O18:O29" si="6">IF(N18=1,"أحسن الغرف",IF(N18=6,"أدنى الغرف",""))</f>
      </c>
      <c r="P18" s="114" t="s">
        <v>244</v>
      </c>
      <c r="Q18" s="79" t="s">
        <v>95</v>
      </c>
      <c r="R18" s="80" t="s">
        <v>245</v>
      </c>
      <c r="S18" s="80" t="s">
        <v>246</v>
      </c>
      <c r="T18" s="80" t="s">
        <v>247</v>
      </c>
      <c r="U18" s="80" t="s">
        <v>248</v>
      </c>
    </row>
    <row r="19" ht="15.75" customHeight="1" spans="1:21" x14ac:dyDescent="0.25">
      <c r="A19" s="101" t="s">
        <v>249</v>
      </c>
      <c r="B19" s="102">
        <f>'الغرفة 18'!C16</f>
        <v>245.8333333</v>
      </c>
      <c r="C19" s="102">
        <f>'الغرفة 18'!D16</f>
        <v>100</v>
      </c>
      <c r="D19" s="102">
        <f>'الغرفة 18'!E16</f>
        <v>100</v>
      </c>
      <c r="E19" s="102">
        <f>'الغرفة 18'!F16</f>
        <v>100</v>
      </c>
      <c r="F19" s="102">
        <f>'الغرفة 18'!G16</f>
        <v>75</v>
      </c>
      <c r="G19" s="102">
        <f>'الغرفة 18'!H16</f>
        <v>74.16666667</v>
      </c>
      <c r="H19" s="102">
        <f>'الغرفة 18'!I16</f>
        <v>73.33333333</v>
      </c>
      <c r="I19" s="102">
        <f>'الغرفة 18'!J16</f>
        <v>75</v>
      </c>
      <c r="J19" s="102">
        <f>'الغرفة 18'!K16</f>
        <v>0</v>
      </c>
      <c r="K19" s="103"/>
      <c r="L19" s="84">
        <v>18</v>
      </c>
      <c r="M19" s="75">
        <f t="shared" si="0"/>
        <v>843.3333333</v>
      </c>
      <c r="N19" s="104">
        <f t="shared" si="5"/>
        <v>1</v>
      </c>
      <c r="O19" s="105" t="str">
        <f t="shared" si="6"/>
        <v>أحسن الغرف</v>
      </c>
      <c r="P19" s="78"/>
      <c r="Q19" s="79" t="s">
        <v>250</v>
      </c>
      <c r="R19" s="80" t="s">
        <v>251</v>
      </c>
      <c r="S19" s="80" t="s">
        <v>252</v>
      </c>
      <c r="T19" s="80" t="s">
        <v>253</v>
      </c>
      <c r="U19" s="80" t="s">
        <v>254</v>
      </c>
    </row>
    <row r="20" ht="15.75" customHeight="1" spans="1:21" x14ac:dyDescent="0.25">
      <c r="A20" s="101" t="s">
        <v>255</v>
      </c>
      <c r="B20" s="102">
        <f>'الغرفة 19'!C16</f>
        <v>196.6666667</v>
      </c>
      <c r="C20" s="102">
        <f>'الغرفة 19'!D16</f>
        <v>100</v>
      </c>
      <c r="D20" s="102">
        <f>'الغرفة 19'!E16</f>
        <v>89.16666667</v>
      </c>
      <c r="E20" s="102">
        <f>'الغرفة 19'!F16</f>
        <v>89.16666667</v>
      </c>
      <c r="F20" s="102">
        <f>'الغرفة 19'!G16</f>
        <v>70.83333333</v>
      </c>
      <c r="G20" s="102">
        <f>'الغرفة 19'!H16</f>
        <v>70.83333333</v>
      </c>
      <c r="H20" s="102">
        <f>'الغرفة 19'!I16</f>
        <v>70.33333333</v>
      </c>
      <c r="I20" s="102">
        <f>'الغرفة 19'!J16</f>
        <v>69</v>
      </c>
      <c r="J20" s="102">
        <f>'الغرفة 19'!K16</f>
        <v>0</v>
      </c>
      <c r="K20" s="103"/>
      <c r="L20" s="84">
        <v>19</v>
      </c>
      <c r="M20" s="75">
        <f t="shared" si="0"/>
        <v>756</v>
      </c>
      <c r="N20" s="104">
        <f t="shared" si="5"/>
        <v>6</v>
      </c>
      <c r="O20" s="105" t="str">
        <f t="shared" si="6"/>
        <v>أدنى الغرف</v>
      </c>
      <c r="P20" s="78"/>
      <c r="Q20" s="79" t="s">
        <v>256</v>
      </c>
      <c r="R20" s="80" t="s">
        <v>257</v>
      </c>
      <c r="S20" s="80" t="s">
        <v>258</v>
      </c>
      <c r="T20" s="80" t="s">
        <v>259</v>
      </c>
      <c r="U20" s="80" t="s">
        <v>260</v>
      </c>
    </row>
    <row r="21" ht="15.75" customHeight="1" spans="1:21" x14ac:dyDescent="0.25">
      <c r="A21" s="101" t="s">
        <v>261</v>
      </c>
      <c r="B21" s="102">
        <f>'الغرفة 20'!C16</f>
        <v>196.6666667</v>
      </c>
      <c r="C21" s="102">
        <f>'الغرفة 20'!D16</f>
        <v>100</v>
      </c>
      <c r="D21" s="102">
        <f>'الغرفة 20'!E16</f>
        <v>96.33333333</v>
      </c>
      <c r="E21" s="102">
        <f>'الغرفة 20'!F16</f>
        <v>95.5</v>
      </c>
      <c r="F21" s="102">
        <f>'الغرفة 20'!G16</f>
        <v>71.66666667</v>
      </c>
      <c r="G21" s="102">
        <f>'الغرفة 20'!H16</f>
        <v>72.33333333</v>
      </c>
      <c r="H21" s="102">
        <f>'الغرفة 20'!I16</f>
        <v>70</v>
      </c>
      <c r="I21" s="102">
        <f>'الغرفة 20'!J16</f>
        <v>75</v>
      </c>
      <c r="J21" s="102">
        <f>'الغرفة 20'!K16</f>
        <v>0</v>
      </c>
      <c r="K21" s="103"/>
      <c r="L21" s="84">
        <v>20</v>
      </c>
      <c r="M21" s="75">
        <f t="shared" si="0"/>
        <v>777.5</v>
      </c>
      <c r="N21" s="104">
        <f t="shared" si="5"/>
        <v>4</v>
      </c>
      <c r="O21" s="105">
        <f t="shared" si="6"/>
      </c>
      <c r="P21" s="78"/>
      <c r="Q21" s="79" t="s">
        <v>26</v>
      </c>
      <c r="R21" s="80" t="s">
        <v>262</v>
      </c>
      <c r="S21" s="80" t="s">
        <v>263</v>
      </c>
      <c r="T21" s="80" t="s">
        <v>264</v>
      </c>
      <c r="U21" s="80" t="s">
        <v>265</v>
      </c>
    </row>
    <row r="22" ht="15.75" customHeight="1" spans="1:21" x14ac:dyDescent="0.25">
      <c r="A22" s="101" t="s">
        <v>266</v>
      </c>
      <c r="B22" s="102">
        <f>'الغرفة 21'!C16</f>
        <v>207.5</v>
      </c>
      <c r="C22" s="102">
        <f>'الغرفة 21'!D16</f>
        <v>100</v>
      </c>
      <c r="D22" s="102">
        <f>'الغرفة 21'!E16</f>
        <v>96.16666667</v>
      </c>
      <c r="E22" s="102">
        <f>'الغرفة 21'!F16</f>
        <v>96.16666667</v>
      </c>
      <c r="F22" s="102">
        <f>'الغرفة 21'!G16</f>
        <v>70.66666667</v>
      </c>
      <c r="G22" s="102">
        <f>'الغرفة 21'!H16</f>
        <v>75</v>
      </c>
      <c r="H22" s="102">
        <f>'الغرفة 21'!I16</f>
        <v>71.66666667</v>
      </c>
      <c r="I22" s="102">
        <f>'الغرفة 21'!J16</f>
        <v>73.33333333</v>
      </c>
      <c r="J22" s="102">
        <f>'الغرفة 21'!K16</f>
        <v>0</v>
      </c>
      <c r="K22" s="103"/>
      <c r="L22" s="84">
        <v>21</v>
      </c>
      <c r="M22" s="75">
        <f t="shared" si="0"/>
        <v>790.5</v>
      </c>
      <c r="N22" s="104">
        <f t="shared" si="5"/>
        <v>3</v>
      </c>
      <c r="O22" s="105">
        <f t="shared" si="6"/>
      </c>
      <c r="P22" s="78"/>
      <c r="Q22" s="79" t="s">
        <v>267</v>
      </c>
      <c r="R22" s="80" t="s">
        <v>268</v>
      </c>
      <c r="S22" s="115" t="s">
        <v>36</v>
      </c>
      <c r="T22" s="80" t="s">
        <v>269</v>
      </c>
      <c r="U22" s="80" t="s">
        <v>270</v>
      </c>
    </row>
    <row r="23" ht="15.75" customHeight="1" spans="1:21" x14ac:dyDescent="0.25">
      <c r="A23" s="116" t="s">
        <v>271</v>
      </c>
      <c r="B23" s="117">
        <f>'الغرفة 22'!C16</f>
        <v>225.8333333</v>
      </c>
      <c r="C23" s="117">
        <f>'الغرفة 22'!D16</f>
        <v>100</v>
      </c>
      <c r="D23" s="117">
        <f>'الغرفة 22'!E16</f>
        <v>97.5</v>
      </c>
      <c r="E23" s="117">
        <f>'الغرفة 22'!F16</f>
        <v>97.5</v>
      </c>
      <c r="F23" s="117">
        <f>'الغرفة 22'!G16</f>
        <v>72.5</v>
      </c>
      <c r="G23" s="117">
        <f>'الغرفة 22'!H16</f>
        <v>72</v>
      </c>
      <c r="H23" s="117">
        <f>'الغرفة 22'!I16</f>
        <v>66.66666667</v>
      </c>
      <c r="I23" s="117">
        <f>'الغرفة 22'!J16</f>
        <v>70.16666667</v>
      </c>
      <c r="J23" s="117">
        <f>'الغرفة 22'!K16</f>
        <v>0</v>
      </c>
      <c r="K23" s="118"/>
      <c r="L23" s="84">
        <v>22</v>
      </c>
      <c r="M23" s="119">
        <f t="shared" si="0"/>
        <v>802.1666667</v>
      </c>
      <c r="N23" s="120">
        <f t="shared" si="5"/>
        <v>2</v>
      </c>
      <c r="O23" s="121">
        <f t="shared" si="6"/>
      </c>
      <c r="P23" s="122"/>
      <c r="Q23" s="79" t="s">
        <v>272</v>
      </c>
      <c r="R23" s="80" t="s">
        <v>273</v>
      </c>
      <c r="S23" s="80" t="s">
        <v>274</v>
      </c>
      <c r="T23" s="80" t="s">
        <v>275</v>
      </c>
      <c r="U23" s="80" t="s">
        <v>276</v>
      </c>
    </row>
    <row r="24" ht="15.75" customHeight="1" spans="1:21" x14ac:dyDescent="0.25">
      <c r="A24" s="123" t="s">
        <v>277</v>
      </c>
      <c r="B24" s="124">
        <f>'الغرفة 23'!C16</f>
        <v>228.3333333</v>
      </c>
      <c r="C24" s="124">
        <f>'الغرفة 23'!D16</f>
        <v>74.33333333</v>
      </c>
      <c r="D24" s="124">
        <f>'الغرفة 23'!E16</f>
        <v>77.75</v>
      </c>
      <c r="E24" s="124">
        <f>'الغرفة 23'!F16</f>
        <v>75.75</v>
      </c>
      <c r="F24" s="124">
        <f>'الغرفة 23'!G16</f>
        <v>55.91666667</v>
      </c>
      <c r="G24" s="124">
        <f>'الغرفة 23'!H16</f>
        <v>56.33333333</v>
      </c>
      <c r="H24" s="124">
        <f>'الغرفة 23'!I16</f>
        <v>58.58333333</v>
      </c>
      <c r="I24" s="124">
        <f>'الغرفة 23'!J16</f>
        <v>54.41666667</v>
      </c>
      <c r="J24" s="124">
        <f>'الغرفة 23'!K16</f>
        <v>0</v>
      </c>
      <c r="K24" s="125"/>
      <c r="L24" s="84">
        <v>23</v>
      </c>
      <c r="M24" s="97">
        <f t="shared" si="0"/>
        <v>681.4166667</v>
      </c>
      <c r="N24" s="98">
        <f t="shared" ref="N24:N29" si="7">IF(M24=0,"",RANK(M24,$M$24:$M$29,0))</f>
        <v>2</v>
      </c>
      <c r="O24" s="99">
        <f t="shared" si="6"/>
      </c>
      <c r="P24" s="126" t="s">
        <v>278</v>
      </c>
      <c r="Q24" s="79" t="s">
        <v>279</v>
      </c>
      <c r="R24" s="80" t="s">
        <v>280</v>
      </c>
      <c r="S24" s="115" t="s">
        <v>36</v>
      </c>
      <c r="T24" s="80" t="s">
        <v>281</v>
      </c>
      <c r="U24" s="80" t="s">
        <v>282</v>
      </c>
    </row>
    <row r="25" ht="15.75" customHeight="1" spans="1:21" x14ac:dyDescent="0.25">
      <c r="A25" s="101" t="s">
        <v>283</v>
      </c>
      <c r="B25" s="102">
        <f>'الغرفة 24'!C16</f>
        <v>211.1666667</v>
      </c>
      <c r="C25" s="102">
        <f>'الغرفة 24'!D16</f>
        <v>69.33333333</v>
      </c>
      <c r="D25" s="102">
        <f>'الغرفة 24'!E16</f>
        <v>73.08333333</v>
      </c>
      <c r="E25" s="102">
        <f>'الغرفة 24'!F16</f>
        <v>68</v>
      </c>
      <c r="F25" s="102">
        <f>'الغرفة 24'!G16</f>
        <v>53.66666667</v>
      </c>
      <c r="G25" s="102">
        <f>'الغرفة 24'!H16</f>
        <v>51.16666667</v>
      </c>
      <c r="H25" s="102">
        <f>'الغرفة 24'!I16</f>
        <v>52.5</v>
      </c>
      <c r="I25" s="102">
        <f>'الغرفة 24'!J16</f>
        <v>51.91666667</v>
      </c>
      <c r="J25" s="102">
        <f>'الغرفة 24'!K16</f>
        <v>0</v>
      </c>
      <c r="K25" s="103"/>
      <c r="L25" s="84">
        <v>24</v>
      </c>
      <c r="M25" s="75">
        <f t="shared" si="0"/>
        <v>630.8333333</v>
      </c>
      <c r="N25" s="104">
        <f t="shared" si="7"/>
        <v>4</v>
      </c>
      <c r="O25" s="105">
        <f t="shared" si="6"/>
      </c>
      <c r="P25" s="78"/>
      <c r="Q25" s="79" t="s">
        <v>100</v>
      </c>
      <c r="R25" s="80" t="s">
        <v>284</v>
      </c>
      <c r="S25" s="80" t="s">
        <v>285</v>
      </c>
      <c r="T25" s="80" t="s">
        <v>286</v>
      </c>
      <c r="U25" s="80" t="s">
        <v>287</v>
      </c>
    </row>
    <row r="26" ht="15.75" customHeight="1" spans="1:21" x14ac:dyDescent="0.25">
      <c r="A26" s="101" t="s">
        <v>288</v>
      </c>
      <c r="B26" s="102">
        <f>'الغرفة 25'!C16</f>
        <v>198.6666667</v>
      </c>
      <c r="C26" s="102">
        <f>'الغرفة 25'!D16</f>
        <v>69.41666667</v>
      </c>
      <c r="D26" s="102">
        <f>'الغرفة 25'!E16</f>
        <v>69</v>
      </c>
      <c r="E26" s="102">
        <f>'الغرفة 25'!F16</f>
        <v>70.83333333</v>
      </c>
      <c r="F26" s="102">
        <f>'الغرفة 25'!G16</f>
        <v>52.91666667</v>
      </c>
      <c r="G26" s="102">
        <f>'الغرفة 25'!H16</f>
        <v>51.41666667</v>
      </c>
      <c r="H26" s="102">
        <f>'الغرفة 25'!I16</f>
        <v>51</v>
      </c>
      <c r="I26" s="102">
        <f>'الغرفة 25'!J16</f>
        <v>50</v>
      </c>
      <c r="J26" s="102">
        <f>'الغرفة 25'!K16</f>
        <v>0</v>
      </c>
      <c r="K26" s="103"/>
      <c r="L26" s="84">
        <v>25</v>
      </c>
      <c r="M26" s="75">
        <f t="shared" si="0"/>
        <v>613.25</v>
      </c>
      <c r="N26" s="104">
        <f t="shared" si="7"/>
        <v>5</v>
      </c>
      <c r="O26" s="105">
        <f t="shared" si="6"/>
      </c>
      <c r="P26" s="78"/>
      <c r="Q26" s="79" t="s">
        <v>289</v>
      </c>
      <c r="R26" s="80" t="s">
        <v>290</v>
      </c>
      <c r="S26" s="115" t="s">
        <v>36</v>
      </c>
      <c r="T26" s="80" t="s">
        <v>291</v>
      </c>
      <c r="U26" s="80" t="s">
        <v>292</v>
      </c>
    </row>
    <row r="27" ht="15.75" customHeight="1" spans="1:21" x14ac:dyDescent="0.25">
      <c r="A27" s="101" t="s">
        <v>293</v>
      </c>
      <c r="B27" s="102">
        <f>'الغرفة 26'!C16</f>
        <v>158.0833333</v>
      </c>
      <c r="C27" s="102">
        <f>'الغرفة 26'!D16</f>
        <v>53.5</v>
      </c>
      <c r="D27" s="102">
        <f>'الغرفة 26'!E16</f>
        <v>51.91666667</v>
      </c>
      <c r="E27" s="102">
        <f>'الغرفة 26'!F16</f>
        <v>51.41666667</v>
      </c>
      <c r="F27" s="102">
        <f>'الغرفة 26'!G16</f>
        <v>37.08333333</v>
      </c>
      <c r="G27" s="102">
        <f>'الغرفة 26'!H16</f>
        <v>37.83333333</v>
      </c>
      <c r="H27" s="102">
        <f>'الغرفة 26'!I16</f>
        <v>37.75</v>
      </c>
      <c r="I27" s="102">
        <f>'الغرفة 26'!J16</f>
        <v>39.83333333</v>
      </c>
      <c r="J27" s="102">
        <f>'الغرفة 26'!K16</f>
        <v>0</v>
      </c>
      <c r="K27" s="103"/>
      <c r="L27" s="84">
        <v>26</v>
      </c>
      <c r="M27" s="75">
        <f t="shared" si="0"/>
        <v>467.4166667</v>
      </c>
      <c r="N27" s="104">
        <f t="shared" si="7"/>
        <v>6</v>
      </c>
      <c r="O27" s="105" t="str">
        <f t="shared" si="6"/>
        <v>أدنى الغرف</v>
      </c>
      <c r="P27" s="78"/>
      <c r="Q27" s="79" t="s">
        <v>294</v>
      </c>
      <c r="R27" s="80" t="s">
        <v>295</v>
      </c>
      <c r="S27" s="80" t="s">
        <v>296</v>
      </c>
      <c r="T27" s="80" t="s">
        <v>297</v>
      </c>
      <c r="U27" s="80" t="s">
        <v>298</v>
      </c>
    </row>
    <row r="28" ht="15.75" customHeight="1" spans="1:21" x14ac:dyDescent="0.25">
      <c r="A28" s="101" t="s">
        <v>299</v>
      </c>
      <c r="B28" s="102">
        <f>'الغرفة 27'!C16</f>
        <v>220.3333333</v>
      </c>
      <c r="C28" s="102">
        <f>'الغرفة 27'!D16</f>
        <v>73.25</v>
      </c>
      <c r="D28" s="102">
        <f>'الغرفة 27'!E16</f>
        <v>72.5</v>
      </c>
      <c r="E28" s="102">
        <f>'الغرفة 27'!F16</f>
        <v>71.58333333</v>
      </c>
      <c r="F28" s="102">
        <f>'الغرفة 27'!G16</f>
        <v>53.5</v>
      </c>
      <c r="G28" s="102">
        <f>'الغرفة 27'!H16</f>
        <v>56.08333333</v>
      </c>
      <c r="H28" s="102">
        <f>'الغرفة 27'!I16</f>
        <v>53.83333333</v>
      </c>
      <c r="I28" s="102">
        <f>'الغرفة 27'!J16</f>
        <v>53.75</v>
      </c>
      <c r="J28" s="102">
        <f>'الغرفة 27'!K16</f>
        <v>0</v>
      </c>
      <c r="K28" s="103"/>
      <c r="L28" s="84">
        <v>27</v>
      </c>
      <c r="M28" s="75">
        <f t="shared" si="0"/>
        <v>654.8333333</v>
      </c>
      <c r="N28" s="104">
        <f t="shared" si="7"/>
        <v>3</v>
      </c>
      <c r="O28" s="105">
        <f t="shared" si="6"/>
      </c>
      <c r="P28" s="78"/>
      <c r="Q28" s="79" t="s">
        <v>300</v>
      </c>
      <c r="R28" s="80" t="s">
        <v>301</v>
      </c>
      <c r="S28" s="80" t="s">
        <v>302</v>
      </c>
      <c r="T28" s="80" t="s">
        <v>303</v>
      </c>
      <c r="U28" s="80" t="s">
        <v>304</v>
      </c>
    </row>
    <row r="29" ht="15.75" customHeight="1" spans="1:21" x14ac:dyDescent="0.25">
      <c r="A29" s="106" t="s">
        <v>305</v>
      </c>
      <c r="B29" s="107">
        <f>'الغرفة 28'!C16</f>
        <v>266.4166667</v>
      </c>
      <c r="C29" s="107">
        <f>'الغرفة 28'!D16</f>
        <v>87.91666667</v>
      </c>
      <c r="D29" s="107">
        <f>'الغرفة 28'!E16</f>
        <v>89.25</v>
      </c>
      <c r="E29" s="107">
        <f>'الغرفة 28'!F16</f>
        <v>90.41666667</v>
      </c>
      <c r="F29" s="107">
        <f>'الغرفة 28'!G16</f>
        <v>66.91666667</v>
      </c>
      <c r="G29" s="107">
        <f>'الغرفة 28'!H16</f>
        <v>67.25</v>
      </c>
      <c r="H29" s="107">
        <f>'الغرفة 28'!I16</f>
        <v>66.41666667</v>
      </c>
      <c r="I29" s="107">
        <f>'الغرفة 28'!J16</f>
        <v>65.91666667</v>
      </c>
      <c r="J29" s="107">
        <f>'الغرفة 28'!K16</f>
        <v>0</v>
      </c>
      <c r="K29" s="108"/>
      <c r="L29" s="84">
        <v>28</v>
      </c>
      <c r="M29" s="91">
        <f t="shared" si="0"/>
        <v>800.5</v>
      </c>
      <c r="N29" s="109">
        <f t="shared" si="7"/>
        <v>1</v>
      </c>
      <c r="O29" s="110" t="str">
        <f t="shared" si="6"/>
        <v>أحسن الغرف</v>
      </c>
      <c r="P29" s="111"/>
      <c r="Q29" s="79" t="s">
        <v>32</v>
      </c>
      <c r="R29" s="80" t="s">
        <v>306</v>
      </c>
      <c r="S29" s="80" t="s">
        <v>307</v>
      </c>
      <c r="T29" s="80" t="s">
        <v>308</v>
      </c>
      <c r="U29" s="80" t="s">
        <v>309</v>
      </c>
    </row>
    <row r="30" ht="15.75" customHeight="1" spans="1:21" x14ac:dyDescent="0.25">
      <c r="A30" s="94" t="s">
        <v>310</v>
      </c>
      <c r="B30" s="95">
        <f>'الغرفة 29'!C16</f>
        <v>271.4285714</v>
      </c>
      <c r="C30" s="95">
        <f>'الغرفة 29'!D16</f>
        <v>93.33333333</v>
      </c>
      <c r="D30" s="95">
        <f>'الغرفة 29'!E16</f>
        <v>99.28571429</v>
      </c>
      <c r="E30" s="95">
        <f>'الغرفة 29'!F16</f>
        <v>96.18181818</v>
      </c>
      <c r="F30" s="95">
        <f>'الغرفة 29'!G16</f>
        <v>72.72727273</v>
      </c>
      <c r="G30" s="95">
        <f>'الغرفة 29'!H16</f>
        <v>73.63636364</v>
      </c>
      <c r="H30" s="95">
        <f>'الغرفة 29'!I16</f>
        <v>75</v>
      </c>
      <c r="I30" s="95">
        <f>'الغرفة 29'!J16</f>
        <v>75</v>
      </c>
      <c r="J30" s="95">
        <f>'الغرفة 29'!K16</f>
        <v>0</v>
      </c>
      <c r="K30" s="96"/>
      <c r="L30" s="84">
        <v>29</v>
      </c>
      <c r="M30" s="65">
        <f t="shared" si="0"/>
        <v>856.5930736</v>
      </c>
      <c r="N30" s="112">
        <f t="shared" ref="N30:N36" si="8">IF(M30=0,"",RANK(M30,$M$30:$M$36,0))</f>
        <v>3</v>
      </c>
      <c r="O30" s="113">
        <f t="shared" ref="O30:O36" si="9">IF(N30=1,"أحسن الغرف",IF(N30=7,"أدنى الغرف",""))</f>
      </c>
      <c r="P30" s="127" t="s">
        <v>311</v>
      </c>
      <c r="Q30" s="79" t="s">
        <v>312</v>
      </c>
      <c r="R30" s="80" t="s">
        <v>285</v>
      </c>
      <c r="S30" s="80" t="s">
        <v>313</v>
      </c>
      <c r="T30" s="80" t="s">
        <v>314</v>
      </c>
      <c r="U30" s="80" t="s">
        <v>315</v>
      </c>
    </row>
    <row r="31" ht="15.75" customHeight="1" spans="1:21" x14ac:dyDescent="0.25">
      <c r="A31" s="101" t="s">
        <v>316</v>
      </c>
      <c r="B31" s="102">
        <f>'الغرفة 30'!C16</f>
        <v>257.1428571</v>
      </c>
      <c r="C31" s="102">
        <f>'الغرفة 30'!D16</f>
        <v>98.57142857</v>
      </c>
      <c r="D31" s="102">
        <f>'الغرفة 30'!E16</f>
        <v>99.28571429</v>
      </c>
      <c r="E31" s="102">
        <f>'الغرفة 30'!F16</f>
        <v>96.18181818</v>
      </c>
      <c r="F31" s="102">
        <f>'الغرفة 30'!G16</f>
        <v>75</v>
      </c>
      <c r="G31" s="102">
        <f>'الغرفة 30'!H16</f>
        <v>75</v>
      </c>
      <c r="H31" s="102">
        <f>'الغرفة 30'!I16</f>
        <v>75</v>
      </c>
      <c r="I31" s="102">
        <f>'الغرفة 30'!J16</f>
        <v>75</v>
      </c>
      <c r="J31" s="102">
        <f>'الغرفة 30'!K16</f>
        <v>0</v>
      </c>
      <c r="K31" s="103"/>
      <c r="L31" s="84">
        <v>30</v>
      </c>
      <c r="M31" s="75">
        <f t="shared" si="0"/>
        <v>851.1818182</v>
      </c>
      <c r="N31" s="104">
        <f t="shared" si="8"/>
        <v>7</v>
      </c>
      <c r="O31" s="105" t="str">
        <f t="shared" si="9"/>
        <v>أدنى الغرف</v>
      </c>
      <c r="P31" s="78"/>
      <c r="Q31" s="79" t="s">
        <v>317</v>
      </c>
      <c r="R31" s="80" t="s">
        <v>318</v>
      </c>
      <c r="S31" s="80" t="s">
        <v>319</v>
      </c>
      <c r="T31" s="80" t="s">
        <v>320</v>
      </c>
      <c r="U31" s="80" t="s">
        <v>321</v>
      </c>
    </row>
    <row r="32" ht="15.75" customHeight="1" spans="1:21" x14ac:dyDescent="0.25">
      <c r="A32" s="101" t="s">
        <v>322</v>
      </c>
      <c r="B32" s="102">
        <f>'الغرفة 31'!C16</f>
        <v>264.2857143</v>
      </c>
      <c r="C32" s="102">
        <f>'الغرفة 31'!D16</f>
        <v>98.57142857</v>
      </c>
      <c r="D32" s="102">
        <f>'الغرفة 31'!E16</f>
        <v>99.28571429</v>
      </c>
      <c r="E32" s="102">
        <f>'الغرفة 31'!F16</f>
        <v>96.18181818</v>
      </c>
      <c r="F32" s="102">
        <f>'الغرفة 31'!G16</f>
        <v>75</v>
      </c>
      <c r="G32" s="102">
        <f>'الغرفة 31'!H16</f>
        <v>73.27272727</v>
      </c>
      <c r="H32" s="102">
        <f>'الغرفة 31'!I16</f>
        <v>74.45454545</v>
      </c>
      <c r="I32" s="102">
        <f>'الغرفة 31'!J16</f>
        <v>75</v>
      </c>
      <c r="J32" s="102">
        <f>'الغرفة 31'!K16</f>
        <v>0</v>
      </c>
      <c r="K32" s="103"/>
      <c r="L32" s="84">
        <v>31</v>
      </c>
      <c r="M32" s="75">
        <f t="shared" si="0"/>
        <v>856.0519481</v>
      </c>
      <c r="N32" s="104">
        <f t="shared" si="8"/>
        <v>5</v>
      </c>
      <c r="O32" s="105">
        <f t="shared" si="9"/>
      </c>
      <c r="P32" s="78"/>
      <c r="Q32" s="79" t="s">
        <v>38</v>
      </c>
      <c r="R32" s="80" t="s">
        <v>323</v>
      </c>
      <c r="S32" s="80" t="s">
        <v>324</v>
      </c>
      <c r="T32" s="80" t="s">
        <v>325</v>
      </c>
      <c r="U32" s="80" t="s">
        <v>326</v>
      </c>
    </row>
    <row r="33" ht="15.75" customHeight="1" spans="1:21" x14ac:dyDescent="0.25">
      <c r="A33" s="101" t="s">
        <v>327</v>
      </c>
      <c r="B33" s="102">
        <f>'الغرفة 32'!C16</f>
        <v>264.2857143</v>
      </c>
      <c r="C33" s="102">
        <f>'الغرفة 32'!D16</f>
        <v>100</v>
      </c>
      <c r="D33" s="102">
        <f>'الغرفة 32'!E16</f>
        <v>99.28571429</v>
      </c>
      <c r="E33" s="102">
        <f>'الغرفة 32'!F16</f>
        <v>96.18181818</v>
      </c>
      <c r="F33" s="102">
        <f>'الغرفة 32'!G16</f>
        <v>74.27272727</v>
      </c>
      <c r="G33" s="102">
        <f>'الغرفة 32'!H16</f>
        <v>74.36363636</v>
      </c>
      <c r="H33" s="102">
        <f>'الغرفة 32'!I16</f>
        <v>72.72727273</v>
      </c>
      <c r="I33" s="102">
        <f>'الغرفة 32'!J16</f>
        <v>75</v>
      </c>
      <c r="J33" s="102">
        <f>'الغرفة 32'!K16</f>
        <v>0</v>
      </c>
      <c r="K33" s="103"/>
      <c r="L33" s="84">
        <v>32</v>
      </c>
      <c r="M33" s="75">
        <f t="shared" si="0"/>
        <v>856.1168831</v>
      </c>
      <c r="N33" s="104">
        <f t="shared" si="8"/>
        <v>4</v>
      </c>
      <c r="O33" s="105">
        <f t="shared" si="9"/>
      </c>
      <c r="P33" s="78"/>
      <c r="Q33" s="79" t="s">
        <v>328</v>
      </c>
      <c r="R33" s="80" t="s">
        <v>329</v>
      </c>
      <c r="S33" s="80" t="s">
        <v>330</v>
      </c>
      <c r="T33" s="80" t="s">
        <v>331</v>
      </c>
      <c r="U33" s="80" t="s">
        <v>332</v>
      </c>
    </row>
    <row r="34" ht="15.75" customHeight="1" spans="1:21" x14ac:dyDescent="0.25">
      <c r="A34" s="101" t="s">
        <v>333</v>
      </c>
      <c r="B34" s="102">
        <f>'الغرفة 33'!C16</f>
        <v>263.5714286</v>
      </c>
      <c r="C34" s="102">
        <f>'الغرفة 33'!D16</f>
        <v>100</v>
      </c>
      <c r="D34" s="102">
        <f>'الغرفة 33'!E16</f>
        <v>97.42857143</v>
      </c>
      <c r="E34" s="102">
        <f>'الغرفة 33'!F16</f>
        <v>96.18181818</v>
      </c>
      <c r="F34" s="102">
        <f>'الغرفة 33'!G16</f>
        <v>73.63636364</v>
      </c>
      <c r="G34" s="102">
        <f>'الغرفة 33'!H16</f>
        <v>75</v>
      </c>
      <c r="H34" s="102">
        <f>'الغرفة 33'!I16</f>
        <v>75</v>
      </c>
      <c r="I34" s="102">
        <f>'الغرفة 33'!J16</f>
        <v>75</v>
      </c>
      <c r="J34" s="102">
        <f>'الغرفة 33'!K16</f>
        <v>0</v>
      </c>
      <c r="K34" s="103"/>
      <c r="L34" s="84">
        <v>33</v>
      </c>
      <c r="M34" s="75">
        <f t="shared" si="0"/>
        <v>855.8181818</v>
      </c>
      <c r="N34" s="128">
        <f t="shared" si="8"/>
        <v>6</v>
      </c>
      <c r="O34" s="77">
        <f t="shared" si="9"/>
      </c>
      <c r="P34" s="78"/>
      <c r="Q34" s="79" t="s">
        <v>334</v>
      </c>
      <c r="R34" s="80" t="s">
        <v>335</v>
      </c>
      <c r="S34" s="80" t="s">
        <v>336</v>
      </c>
      <c r="T34" s="80" t="s">
        <v>337</v>
      </c>
      <c r="U34" s="80" t="s">
        <v>338</v>
      </c>
    </row>
    <row r="35" ht="15.75" customHeight="1" spans="1:21" x14ac:dyDescent="0.25">
      <c r="A35" s="106" t="s">
        <v>339</v>
      </c>
      <c r="B35" s="107">
        <f>'الغرفة 34'!C16</f>
        <v>264.2857143</v>
      </c>
      <c r="C35" s="107">
        <f>'الغرفة 34'!D16</f>
        <v>97.42857143</v>
      </c>
      <c r="D35" s="107">
        <f>'الغرفة 34'!E16</f>
        <v>99.28571429</v>
      </c>
      <c r="E35" s="107">
        <f>'الغرفة 34'!F16</f>
        <v>96.18181818</v>
      </c>
      <c r="F35" s="107">
        <f>'الغرفة 34'!G16</f>
        <v>75</v>
      </c>
      <c r="G35" s="107">
        <f>'الغرفة 34'!H16</f>
        <v>75</v>
      </c>
      <c r="H35" s="107">
        <f>'الغرفة 34'!I16</f>
        <v>75</v>
      </c>
      <c r="I35" s="107">
        <f>'الغرفة 34'!J16</f>
        <v>75</v>
      </c>
      <c r="J35" s="107">
        <f>'الغرفة 34'!K16</f>
        <v>0</v>
      </c>
      <c r="K35" s="108"/>
      <c r="L35" s="84">
        <v>34</v>
      </c>
      <c r="M35" s="75">
        <f t="shared" si="0"/>
        <v>857.1818182</v>
      </c>
      <c r="N35" s="128">
        <f t="shared" si="8"/>
        <v>2</v>
      </c>
      <c r="O35" s="77">
        <f t="shared" si="9"/>
      </c>
      <c r="P35" s="78"/>
      <c r="Q35" s="79" t="s">
        <v>340</v>
      </c>
      <c r="R35" s="80" t="s">
        <v>341</v>
      </c>
      <c r="S35" s="80" t="s">
        <v>342</v>
      </c>
      <c r="T35" s="80" t="s">
        <v>343</v>
      </c>
      <c r="U35" s="80" t="s">
        <v>344</v>
      </c>
    </row>
    <row r="36" ht="15.75" customHeight="1" spans="1:21" x14ac:dyDescent="0.25">
      <c r="A36" s="116" t="s">
        <v>345</v>
      </c>
      <c r="B36" s="117">
        <f>'الغرفة 35'!C16</f>
        <v>270</v>
      </c>
      <c r="C36" s="117">
        <f>'الغرفة 35'!D16</f>
        <v>97.14285714</v>
      </c>
      <c r="D36" s="117">
        <f>'الغرفة 35'!E16</f>
        <v>99.28571429</v>
      </c>
      <c r="E36" s="117">
        <f>'الغرفة 35'!F16</f>
        <v>96.18181818</v>
      </c>
      <c r="F36" s="117">
        <f>'الغرفة 35'!G16</f>
        <v>75</v>
      </c>
      <c r="G36" s="117">
        <f>'الغرفة 35'!H16</f>
        <v>75</v>
      </c>
      <c r="H36" s="117">
        <f>'الغرفة 35'!I16</f>
        <v>75</v>
      </c>
      <c r="I36" s="117">
        <f>'الغرفة 35'!J16</f>
        <v>75</v>
      </c>
      <c r="J36" s="117">
        <f>'الغرفة 35'!K16</f>
        <v>0</v>
      </c>
      <c r="K36" s="118"/>
      <c r="L36" s="84">
        <v>35</v>
      </c>
      <c r="M36" s="119">
        <f t="shared" si="0"/>
        <v>862.6103896</v>
      </c>
      <c r="N36" s="129">
        <f t="shared" si="8"/>
        <v>1</v>
      </c>
      <c r="O36" s="130" t="str">
        <f t="shared" si="9"/>
        <v>أحسن الغرف</v>
      </c>
      <c r="P36" s="122"/>
      <c r="Q36" s="79" t="s">
        <v>105</v>
      </c>
      <c r="R36" s="80" t="s">
        <v>346</v>
      </c>
      <c r="S36" s="80" t="s">
        <v>347</v>
      </c>
      <c r="T36" s="80" t="s">
        <v>348</v>
      </c>
      <c r="U36" s="80" t="s">
        <v>349</v>
      </c>
    </row>
    <row r="37" ht="15.75" customHeight="1" spans="1:21" x14ac:dyDescent="0.25">
      <c r="A37" s="94" t="s">
        <v>350</v>
      </c>
      <c r="B37" s="95">
        <f>'الغرفة 39'!C16</f>
        <v>42.72727273</v>
      </c>
      <c r="C37" s="95">
        <f>'الغرفة 39'!D16</f>
        <v>80.90909091</v>
      </c>
      <c r="D37" s="95">
        <f>'الغرفة 39'!E16</f>
        <v>74.54545455</v>
      </c>
      <c r="E37" s="95">
        <f>'الغرفة 39'!F16</f>
        <v>47.27272727</v>
      </c>
      <c r="F37" s="95">
        <f>'الغرفة 39'!G16</f>
        <v>75</v>
      </c>
      <c r="G37" s="95">
        <f>'الغرفة 39'!H16</f>
        <v>75</v>
      </c>
      <c r="H37" s="95">
        <f>'الغرفة 39'!I16</f>
        <v>75</v>
      </c>
      <c r="I37" s="95">
        <f>'الغرفة 39'!J16</f>
        <v>75</v>
      </c>
      <c r="J37" s="95">
        <f>'الغرفة 39'!K16</f>
        <v>0</v>
      </c>
      <c r="K37" s="96"/>
      <c r="L37" s="84">
        <v>39</v>
      </c>
      <c r="M37" s="97">
        <f t="shared" si="0"/>
        <v>545.4545455</v>
      </c>
      <c r="N37" s="131">
        <f t="shared" ref="N37:N41" si="10">IF(M37=0,"",RANK(M37,$M$37:$M$41,0))</f>
        <v>4</v>
      </c>
      <c r="O37" s="132">
        <f t="shared" ref="O37:O41" si="11">IF(N37=1,"أحسن الغرف",IF(N37=5,"أدنى الغرف",""))</f>
      </c>
      <c r="P37" s="133" t="s">
        <v>351</v>
      </c>
      <c r="Q37" s="79" t="s">
        <v>352</v>
      </c>
      <c r="R37" s="80" t="s">
        <v>353</v>
      </c>
      <c r="S37" s="80" t="s">
        <v>354</v>
      </c>
      <c r="T37" s="80" t="s">
        <v>355</v>
      </c>
      <c r="U37" s="80" t="s">
        <v>356</v>
      </c>
    </row>
    <row r="38" ht="15.75" customHeight="1" spans="1:21" x14ac:dyDescent="0.25">
      <c r="A38" s="101" t="s">
        <v>357</v>
      </c>
      <c r="B38" s="102">
        <f>'الغرفة 40'!C16</f>
        <v>57.27272727</v>
      </c>
      <c r="C38" s="102">
        <f>'الغرفة 40'!D16</f>
        <v>72.72727273</v>
      </c>
      <c r="D38" s="102">
        <f>'الغرفة 40'!E16</f>
        <v>84</v>
      </c>
      <c r="E38" s="102">
        <f>'الغرفة 40'!F16</f>
        <v>57.27272727</v>
      </c>
      <c r="F38" s="102">
        <f>'الغرفة 40'!G16</f>
        <v>74.375</v>
      </c>
      <c r="G38" s="102">
        <f>'الغرفة 40'!H16</f>
        <v>75</v>
      </c>
      <c r="H38" s="102">
        <f>'الغرفة 40'!I16</f>
        <v>75</v>
      </c>
      <c r="I38" s="102">
        <f>'الغرفة 40'!J16</f>
        <v>73.125</v>
      </c>
      <c r="J38" s="102">
        <f>'الغرفة 40'!K16</f>
        <v>0</v>
      </c>
      <c r="K38" s="103"/>
      <c r="L38" s="84">
        <v>40</v>
      </c>
      <c r="M38" s="75">
        <f t="shared" si="0"/>
        <v>568.7727273</v>
      </c>
      <c r="N38" s="128">
        <f t="shared" si="10"/>
        <v>2</v>
      </c>
      <c r="O38" s="77">
        <f t="shared" si="11"/>
      </c>
      <c r="P38" s="78"/>
      <c r="Q38" s="79" t="s">
        <v>50</v>
      </c>
      <c r="R38" s="80" t="s">
        <v>358</v>
      </c>
      <c r="S38" s="80" t="s">
        <v>359</v>
      </c>
      <c r="T38" s="80" t="s">
        <v>360</v>
      </c>
      <c r="U38" s="80" t="s">
        <v>361</v>
      </c>
    </row>
    <row r="39" ht="15.75" customHeight="1" spans="1:21" x14ac:dyDescent="0.25">
      <c r="A39" s="101" t="s">
        <v>362</v>
      </c>
      <c r="B39" s="102">
        <f>'الغرفة 41'!C16</f>
        <v>61.81818182</v>
      </c>
      <c r="C39" s="102">
        <f>'الغرفة 41'!D16</f>
        <v>80</v>
      </c>
      <c r="D39" s="102">
        <f>'الغرفة 41'!E16</f>
        <v>87.27272727</v>
      </c>
      <c r="E39" s="102">
        <f>'الغرفة 41'!F16</f>
        <v>50</v>
      </c>
      <c r="F39" s="102">
        <f>'الغرفة 41'!G16</f>
        <v>75</v>
      </c>
      <c r="G39" s="102">
        <f>'الغرفة 41'!H16</f>
        <v>75</v>
      </c>
      <c r="H39" s="102">
        <f>'الغرفة 41'!I16</f>
        <v>75</v>
      </c>
      <c r="I39" s="102">
        <f>'الغرفة 41'!J16</f>
        <v>75</v>
      </c>
      <c r="J39" s="102">
        <f>'الغرفة 41'!K16</f>
        <v>0</v>
      </c>
      <c r="K39" s="103"/>
      <c r="L39" s="84">
        <v>41</v>
      </c>
      <c r="M39" s="75">
        <f t="shared" si="0"/>
        <v>579.0909091</v>
      </c>
      <c r="N39" s="128">
        <f t="shared" si="10"/>
        <v>1</v>
      </c>
      <c r="O39" s="77" t="str">
        <f t="shared" si="11"/>
        <v>أحسن الغرف</v>
      </c>
      <c r="P39" s="78"/>
      <c r="Q39" s="79" t="s">
        <v>363</v>
      </c>
      <c r="R39" s="80" t="s">
        <v>364</v>
      </c>
      <c r="S39" s="80" t="s">
        <v>365</v>
      </c>
      <c r="T39" s="80" t="s">
        <v>366</v>
      </c>
      <c r="U39" s="80" t="s">
        <v>367</v>
      </c>
    </row>
    <row r="40" ht="15.75" customHeight="1" spans="1:21" x14ac:dyDescent="0.25">
      <c r="A40" s="101" t="s">
        <v>368</v>
      </c>
      <c r="B40" s="102">
        <f>'الغرفة 42'!C16</f>
        <v>66.36363636</v>
      </c>
      <c r="C40" s="102">
        <f>'الغرفة 42'!D16</f>
        <v>70.90909091</v>
      </c>
      <c r="D40" s="102">
        <f>'الغرفة 42'!E16</f>
        <v>78.18181818</v>
      </c>
      <c r="E40" s="102">
        <f>'الغرفة 42'!F16</f>
        <v>51.81818182</v>
      </c>
      <c r="F40" s="102">
        <f>'الغرفة 42'!G16</f>
        <v>75</v>
      </c>
      <c r="G40" s="102">
        <f>'الغرفة 42'!H16</f>
        <v>75</v>
      </c>
      <c r="H40" s="102">
        <f>'الغرفة 42'!I16</f>
        <v>75</v>
      </c>
      <c r="I40" s="102">
        <f>'الغرفة 42'!J16</f>
        <v>75</v>
      </c>
      <c r="J40" s="102">
        <f>'الغرفة 42'!K16</f>
        <v>0</v>
      </c>
      <c r="K40" s="103"/>
      <c r="L40" s="84">
        <v>42</v>
      </c>
      <c r="M40" s="75">
        <f t="shared" si="0"/>
        <v>567.2727273</v>
      </c>
      <c r="N40" s="128">
        <f t="shared" si="10"/>
        <v>3</v>
      </c>
      <c r="O40" s="77">
        <f t="shared" si="11"/>
      </c>
      <c r="P40" s="78"/>
      <c r="Q40" s="79" t="s">
        <v>369</v>
      </c>
      <c r="R40" s="80" t="s">
        <v>370</v>
      </c>
      <c r="S40" s="80" t="s">
        <v>371</v>
      </c>
      <c r="T40" s="80" t="s">
        <v>372</v>
      </c>
      <c r="U40" s="80" t="s">
        <v>373</v>
      </c>
    </row>
    <row r="41" ht="15.75" customHeight="1" spans="1:21" x14ac:dyDescent="0.25">
      <c r="A41" s="101" t="s">
        <v>374</v>
      </c>
      <c r="B41" s="102">
        <f>'الغرفة 43'!C16</f>
        <v>47.27272727</v>
      </c>
      <c r="C41" s="102">
        <f>'الغرفة 43'!D16</f>
        <v>64.54545455</v>
      </c>
      <c r="D41" s="102">
        <f>'الغرفة 43'!E16</f>
        <v>71.81818182</v>
      </c>
      <c r="E41" s="102">
        <f>'الغرفة 43'!F16</f>
        <v>51.81818182</v>
      </c>
      <c r="F41" s="102">
        <f>'الغرفة 43'!G16</f>
        <v>75</v>
      </c>
      <c r="G41" s="102">
        <f>'الغرفة 43'!H16</f>
        <v>75</v>
      </c>
      <c r="H41" s="102">
        <f>'الغرفة 43'!I16</f>
        <v>75</v>
      </c>
      <c r="I41" s="102">
        <f>'الغرفة 43'!J16</f>
        <v>74.375</v>
      </c>
      <c r="J41" s="102">
        <f>'الغرفة 43'!K16</f>
        <v>0</v>
      </c>
      <c r="K41" s="103"/>
      <c r="L41" s="84">
        <v>43</v>
      </c>
      <c r="M41" s="91">
        <f t="shared" si="0"/>
        <v>534.8295455</v>
      </c>
      <c r="N41" s="134">
        <f t="shared" si="10"/>
        <v>5</v>
      </c>
      <c r="O41" s="93" t="str">
        <f t="shared" si="11"/>
        <v>أدنى الغرف</v>
      </c>
      <c r="P41" s="111"/>
      <c r="Q41" s="79" t="s">
        <v>375</v>
      </c>
      <c r="R41" s="80" t="s">
        <v>376</v>
      </c>
      <c r="S41" s="80" t="s">
        <v>377</v>
      </c>
      <c r="T41" s="80" t="s">
        <v>378</v>
      </c>
      <c r="U41" s="80" t="s">
        <v>379</v>
      </c>
    </row>
    <row r="42" ht="15.75" customHeight="1" spans="1:21" x14ac:dyDescent="0.25">
      <c r="A42" s="135" t="s">
        <v>380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84">
        <v>44</v>
      </c>
      <c r="M42" s="137">
        <f t="shared" si="0"/>
        <v>0</v>
      </c>
      <c r="N42" s="138">
        <f>IF(M42=0,"",RANK(M42,$M$42:$M$49,0))</f>
      </c>
      <c r="O42" s="139">
        <f>IF(N42=1,"أحسن الغرف",IF(N42=7,"أدنى الغرف",""))</f>
      </c>
      <c r="P42" s="140"/>
      <c r="Q42" s="141" t="s">
        <v>36</v>
      </c>
      <c r="R42" s="142"/>
      <c r="S42" s="142"/>
      <c r="T42" s="142"/>
      <c r="U42" s="142"/>
    </row>
    <row r="43" ht="15.75" customHeight="1" spans="1:21" x14ac:dyDescent="0.25">
      <c r="A43" s="94" t="s">
        <v>381</v>
      </c>
      <c r="B43" s="95">
        <f>'الغرفة 45'!C16</f>
        <v>191.6666667</v>
      </c>
      <c r="C43" s="95">
        <f>'الغرفة 45'!D16</f>
        <v>73.33333333</v>
      </c>
      <c r="D43" s="95">
        <f>'الغرفة 45'!E16</f>
        <v>78.33333333</v>
      </c>
      <c r="E43" s="95">
        <f>'الغرفة 45'!F16</f>
        <v>74.16666667</v>
      </c>
      <c r="F43" s="95">
        <f>'الغرفة 45'!G16</f>
        <v>66.66666667</v>
      </c>
      <c r="G43" s="95">
        <f>'الغرفة 45'!H16</f>
        <v>66.66666667</v>
      </c>
      <c r="H43" s="95">
        <f>'الغرفة 45'!I16</f>
        <v>65</v>
      </c>
      <c r="I43" s="95">
        <f>'الغرفة 45'!J16</f>
        <v>69.83333333</v>
      </c>
      <c r="J43" s="95">
        <f>'الغرفة 45'!K16</f>
        <v>0</v>
      </c>
      <c r="K43" s="96"/>
      <c r="L43" s="84">
        <v>45</v>
      </c>
      <c r="M43" s="97">
        <f t="shared" si="0"/>
        <v>685.6666667</v>
      </c>
      <c r="N43" s="131">
        <f t="shared" ref="N43:N50" si="12">IF(M43=0,"",RANK(M43,$M$43:$M$50,0))</f>
        <v>5</v>
      </c>
      <c r="O43" s="132">
        <f t="shared" ref="O43:O66" si="13">IF(N43=1,"أحسن الغرف",IF(N43=8,"أدنى الغرف",""))</f>
      </c>
      <c r="P43" s="143" t="s">
        <v>382</v>
      </c>
      <c r="Q43" s="79" t="s">
        <v>383</v>
      </c>
      <c r="R43" s="80" t="s">
        <v>384</v>
      </c>
      <c r="S43" s="115" t="s">
        <v>36</v>
      </c>
      <c r="T43" s="80" t="s">
        <v>385</v>
      </c>
      <c r="U43" s="80" t="s">
        <v>386</v>
      </c>
    </row>
    <row r="44" ht="15.75" customHeight="1" spans="1:21" x14ac:dyDescent="0.25">
      <c r="A44" s="101" t="s">
        <v>387</v>
      </c>
      <c r="B44" s="102">
        <f>'الغرفة 46'!C16</f>
        <v>191.6666667</v>
      </c>
      <c r="C44" s="102">
        <f>'الغرفة 46'!D16</f>
        <v>76.66666667</v>
      </c>
      <c r="D44" s="102">
        <f>'الغرفة 46'!E16</f>
        <v>80</v>
      </c>
      <c r="E44" s="102">
        <f>'الغرفة 46'!F16</f>
        <v>79.16666667</v>
      </c>
      <c r="F44" s="102">
        <f>'الغرفة 46'!G16</f>
        <v>69.16666667</v>
      </c>
      <c r="G44" s="102">
        <f>'الغرفة 46'!H16</f>
        <v>69.16666667</v>
      </c>
      <c r="H44" s="102">
        <f>'الغرفة 46'!I16</f>
        <v>72.5</v>
      </c>
      <c r="I44" s="102">
        <f>'الغرفة 46'!J16</f>
        <v>69.16666667</v>
      </c>
      <c r="J44" s="102">
        <f>'الغرفة 46'!K16</f>
        <v>0</v>
      </c>
      <c r="K44" s="103"/>
      <c r="L44" s="84">
        <v>46</v>
      </c>
      <c r="M44" s="75">
        <f t="shared" si="0"/>
        <v>707.5</v>
      </c>
      <c r="N44" s="128">
        <f t="shared" si="12"/>
        <v>2</v>
      </c>
      <c r="O44" s="77">
        <f t="shared" si="13"/>
      </c>
      <c r="P44" s="78"/>
      <c r="Q44" s="79" t="s">
        <v>56</v>
      </c>
      <c r="R44" s="80" t="s">
        <v>388</v>
      </c>
      <c r="S44" s="80" t="s">
        <v>389</v>
      </c>
      <c r="T44" s="80" t="s">
        <v>390</v>
      </c>
      <c r="U44" s="80" t="s">
        <v>391</v>
      </c>
    </row>
    <row r="45" ht="15.75" customHeight="1" spans="1:21" x14ac:dyDescent="0.25">
      <c r="A45" s="101" t="s">
        <v>392</v>
      </c>
      <c r="B45" s="102">
        <f>'الغرفة 47'!C16</f>
        <v>175</v>
      </c>
      <c r="C45" s="102">
        <f>'الغرفة 47'!D16</f>
        <v>71.66666667</v>
      </c>
      <c r="D45" s="102">
        <f>'الغرفة 47'!E16</f>
        <v>73.33333333</v>
      </c>
      <c r="E45" s="102">
        <f>'الغرفة 47'!F16</f>
        <v>70.83333333</v>
      </c>
      <c r="F45" s="102">
        <f>'الغرفة 47'!G16</f>
        <v>66.66666667</v>
      </c>
      <c r="G45" s="102">
        <f>'الغرفة 47'!H16</f>
        <v>69.16666667</v>
      </c>
      <c r="H45" s="102">
        <f>'الغرفة 47'!I16</f>
        <v>69.16666667</v>
      </c>
      <c r="I45" s="102">
        <f>'الغرفة 47'!J16</f>
        <v>67.5</v>
      </c>
      <c r="J45" s="102">
        <f>'الغرفة 47'!K16</f>
        <v>0</v>
      </c>
      <c r="K45" s="103"/>
      <c r="L45" s="84">
        <v>47</v>
      </c>
      <c r="M45" s="75">
        <f t="shared" si="0"/>
        <v>663.3333333</v>
      </c>
      <c r="N45" s="128">
        <f t="shared" si="12"/>
        <v>7</v>
      </c>
      <c r="O45" s="77">
        <f t="shared" si="13"/>
      </c>
      <c r="P45" s="78"/>
      <c r="Q45" s="79" t="s">
        <v>393</v>
      </c>
      <c r="R45" s="80" t="s">
        <v>394</v>
      </c>
      <c r="S45" s="80" t="s">
        <v>395</v>
      </c>
      <c r="T45" s="86" t="s">
        <v>396</v>
      </c>
      <c r="U45" s="86" t="s">
        <v>397</v>
      </c>
    </row>
    <row r="46" ht="15.75" customHeight="1" spans="1:21" x14ac:dyDescent="0.25">
      <c r="A46" s="101" t="s">
        <v>398</v>
      </c>
      <c r="B46" s="102">
        <f>'الغرفة 48'!C16</f>
        <v>200</v>
      </c>
      <c r="C46" s="102">
        <f>'الغرفة 48'!D16</f>
        <v>74.16666667</v>
      </c>
      <c r="D46" s="102">
        <f>'الغرفة 48'!E16</f>
        <v>73.33333333</v>
      </c>
      <c r="E46" s="102">
        <f>'الغرفة 48'!F16</f>
        <v>71.66666667</v>
      </c>
      <c r="F46" s="102">
        <f>'الغرفة 48'!G16</f>
        <v>64.16666667</v>
      </c>
      <c r="G46" s="102">
        <f>'الغرفة 48'!H16</f>
        <v>70.83333333</v>
      </c>
      <c r="H46" s="102">
        <f>'الغرفة 48'!I16</f>
        <v>67.5</v>
      </c>
      <c r="I46" s="102">
        <f>'الغرفة 48'!J16</f>
        <v>68.33333333</v>
      </c>
      <c r="J46" s="102">
        <f>'الغرفة 48'!K16</f>
        <v>0</v>
      </c>
      <c r="K46" s="103"/>
      <c r="L46" s="84">
        <v>48</v>
      </c>
      <c r="M46" s="75">
        <f t="shared" si="0"/>
        <v>690</v>
      </c>
      <c r="N46" s="128">
        <f t="shared" si="12"/>
        <v>4</v>
      </c>
      <c r="O46" s="77">
        <f t="shared" si="13"/>
      </c>
      <c r="P46" s="78"/>
      <c r="Q46" s="79" t="s">
        <v>399</v>
      </c>
      <c r="R46" s="80" t="s">
        <v>400</v>
      </c>
      <c r="S46" s="80" t="s">
        <v>401</v>
      </c>
      <c r="T46" s="80" t="s">
        <v>402</v>
      </c>
      <c r="U46" s="80" t="s">
        <v>403</v>
      </c>
    </row>
    <row r="47" ht="15.75" customHeight="1" spans="1:21" x14ac:dyDescent="0.25">
      <c r="A47" s="101" t="s">
        <v>404</v>
      </c>
      <c r="B47" s="102">
        <f>'الغرفة 49'!C16</f>
        <v>208.3333333</v>
      </c>
      <c r="C47" s="102">
        <f>'الغرفة 49'!D16</f>
        <v>73.33333333</v>
      </c>
      <c r="D47" s="102">
        <f>'الغرفة 49'!E16</f>
        <v>70.83333333</v>
      </c>
      <c r="E47" s="102">
        <f>'الغرفة 49'!F16</f>
        <v>71.66666667</v>
      </c>
      <c r="F47" s="102">
        <f>'الغرفة 49'!G16</f>
        <v>67.5</v>
      </c>
      <c r="G47" s="102">
        <f>'الغرفة 49'!H16</f>
        <v>68.33333333</v>
      </c>
      <c r="H47" s="102">
        <f>'الغرفة 49'!I16</f>
        <v>70</v>
      </c>
      <c r="I47" s="102">
        <f>'الغرفة 49'!J16</f>
        <v>70.83333333</v>
      </c>
      <c r="J47" s="102">
        <f>'الغرفة 49'!K16</f>
        <v>0</v>
      </c>
      <c r="K47" s="103"/>
      <c r="L47" s="84">
        <v>49</v>
      </c>
      <c r="M47" s="75">
        <f t="shared" si="0"/>
        <v>700.8333333</v>
      </c>
      <c r="N47" s="128">
        <f t="shared" si="12"/>
        <v>3</v>
      </c>
      <c r="O47" s="77">
        <f t="shared" si="13"/>
      </c>
      <c r="P47" s="78"/>
      <c r="Q47" s="79" t="s">
        <v>405</v>
      </c>
      <c r="R47" s="80" t="s">
        <v>406</v>
      </c>
      <c r="S47" s="80" t="s">
        <v>407</v>
      </c>
      <c r="T47" s="80" t="s">
        <v>408</v>
      </c>
      <c r="U47" s="80" t="s">
        <v>409</v>
      </c>
    </row>
    <row r="48" ht="15.75" customHeight="1" spans="1:21" x14ac:dyDescent="0.25">
      <c r="A48" s="101" t="s">
        <v>410</v>
      </c>
      <c r="B48" s="102">
        <f>'الغرفة 50'!C16</f>
        <v>216.6666667</v>
      </c>
      <c r="C48" s="102">
        <f>'الغرفة 50'!D16</f>
        <v>75</v>
      </c>
      <c r="D48" s="102">
        <f>'الغرفة 50'!E16</f>
        <v>75</v>
      </c>
      <c r="E48" s="102">
        <f>'الغرفة 50'!F16</f>
        <v>75</v>
      </c>
      <c r="F48" s="102">
        <f>'الغرفة 50'!G16</f>
        <v>70</v>
      </c>
      <c r="G48" s="102">
        <f>'الغرفة 50'!H16</f>
        <v>68.33333333</v>
      </c>
      <c r="H48" s="102">
        <f>'الغرفة 50'!I16</f>
        <v>68.33333333</v>
      </c>
      <c r="I48" s="102">
        <f>'الغرفة 50'!J16</f>
        <v>69.16666667</v>
      </c>
      <c r="J48" s="102">
        <f>'الغرفة 50'!K16</f>
        <v>0</v>
      </c>
      <c r="K48" s="103"/>
      <c r="L48" s="84">
        <v>50</v>
      </c>
      <c r="M48" s="75">
        <f t="shared" si="0"/>
        <v>717.5</v>
      </c>
      <c r="N48" s="128">
        <f t="shared" si="12"/>
        <v>1</v>
      </c>
      <c r="O48" s="77" t="str">
        <f t="shared" si="13"/>
        <v>أحسن الغرف</v>
      </c>
      <c r="P48" s="78"/>
      <c r="Q48" s="79" t="s">
        <v>411</v>
      </c>
      <c r="R48" s="80" t="s">
        <v>412</v>
      </c>
      <c r="S48" s="80" t="s">
        <v>413</v>
      </c>
      <c r="T48" s="80" t="s">
        <v>414</v>
      </c>
      <c r="U48" s="80" t="s">
        <v>415</v>
      </c>
    </row>
    <row r="49" ht="15.75" customHeight="1" spans="1:21" x14ac:dyDescent="0.25">
      <c r="A49" s="101" t="s">
        <v>416</v>
      </c>
      <c r="B49" s="102">
        <f>'الغرفة 51'!C16</f>
        <v>191.6666667</v>
      </c>
      <c r="C49" s="102">
        <f>'الغرفة 51'!D16</f>
        <v>74.16666667</v>
      </c>
      <c r="D49" s="102">
        <f>'الغرفة 51'!E16</f>
        <v>73.33333333</v>
      </c>
      <c r="E49" s="102">
        <f>'الغرفة 51'!F16</f>
        <v>75</v>
      </c>
      <c r="F49" s="102">
        <f>'الغرفة 51'!G16</f>
        <v>70</v>
      </c>
      <c r="G49" s="102">
        <f>'الغرفة 51'!H16</f>
        <v>67.5</v>
      </c>
      <c r="H49" s="102">
        <f>'الغرفة 51'!I16</f>
        <v>67.5</v>
      </c>
      <c r="I49" s="102">
        <f>'الغرفة 51'!J16</f>
        <v>65</v>
      </c>
      <c r="J49" s="102">
        <f>'الغرفة 51'!K16</f>
        <v>0</v>
      </c>
      <c r="K49" s="103"/>
      <c r="L49" s="84">
        <v>51</v>
      </c>
      <c r="M49" s="75">
        <f t="shared" si="0"/>
        <v>684.1666667</v>
      </c>
      <c r="N49" s="128">
        <f t="shared" si="12"/>
        <v>6</v>
      </c>
      <c r="O49" s="77">
        <f t="shared" si="13"/>
      </c>
      <c r="P49" s="78"/>
      <c r="Q49" s="79" t="s">
        <v>417</v>
      </c>
      <c r="R49" s="80" t="s">
        <v>418</v>
      </c>
      <c r="S49" s="80" t="s">
        <v>419</v>
      </c>
      <c r="T49" s="80" t="s">
        <v>420</v>
      </c>
      <c r="U49" s="80" t="s">
        <v>421</v>
      </c>
    </row>
    <row r="50" ht="15.75" customHeight="1" spans="1:21" x14ac:dyDescent="0.25">
      <c r="A50" s="116" t="s">
        <v>422</v>
      </c>
      <c r="B50" s="117">
        <f>'الغرفة 52'!C16</f>
        <v>177.5</v>
      </c>
      <c r="C50" s="117">
        <f>'الغرفة 52'!D16</f>
        <v>68.33333333</v>
      </c>
      <c r="D50" s="117">
        <f>'الغرفة 52'!E16</f>
        <v>71.66666667</v>
      </c>
      <c r="E50" s="117">
        <f>'الغرفة 52'!F16</f>
        <v>67.33333333</v>
      </c>
      <c r="F50" s="117">
        <f>'الغرفة 52'!G16</f>
        <v>69</v>
      </c>
      <c r="G50" s="117">
        <f>'الغرفة 52'!H16</f>
        <v>68.66666667</v>
      </c>
      <c r="H50" s="117">
        <f>'الغرفة 52'!I16</f>
        <v>64.16666667</v>
      </c>
      <c r="I50" s="117">
        <f>'الغرفة 52'!J16</f>
        <v>66.66666667</v>
      </c>
      <c r="J50" s="117">
        <f>'الغرفة 52'!K16</f>
        <v>0</v>
      </c>
      <c r="K50" s="118"/>
      <c r="L50" s="84">
        <v>52</v>
      </c>
      <c r="M50" s="91">
        <f t="shared" si="0"/>
        <v>653.3333333</v>
      </c>
      <c r="N50" s="134">
        <f t="shared" si="12"/>
        <v>8</v>
      </c>
      <c r="O50" s="93" t="str">
        <f t="shared" si="13"/>
        <v>أدنى الغرف</v>
      </c>
      <c r="P50" s="111"/>
      <c r="Q50" s="79" t="s">
        <v>423</v>
      </c>
      <c r="R50" s="80" t="s">
        <v>424</v>
      </c>
      <c r="S50" s="80" t="s">
        <v>425</v>
      </c>
      <c r="T50" s="80" t="s">
        <v>426</v>
      </c>
      <c r="U50" s="80" t="s">
        <v>427</v>
      </c>
    </row>
    <row r="51" ht="15.75" customHeight="1" spans="1:21" x14ac:dyDescent="0.25">
      <c r="A51" s="94" t="s">
        <v>428</v>
      </c>
      <c r="B51" s="95">
        <f>'الغرفة 53'!C16</f>
        <v>172.7777778</v>
      </c>
      <c r="C51" s="95">
        <f>'الغرفة 53'!D16</f>
        <v>67.22222222</v>
      </c>
      <c r="D51" s="95">
        <f>'الغرفة 53'!E16</f>
        <v>66.66666667</v>
      </c>
      <c r="E51" s="95">
        <f>'الغرفة 53'!F16</f>
        <v>66.66666667</v>
      </c>
      <c r="F51" s="95">
        <f>'الغرفة 53'!G16</f>
        <v>50</v>
      </c>
      <c r="G51" s="95">
        <f>'الغرفة 53'!H16</f>
        <v>47.77777778</v>
      </c>
      <c r="H51" s="95">
        <f>'الغرفة 53'!I16</f>
        <v>49.44444444</v>
      </c>
      <c r="I51" s="95">
        <f>'الغرفة 53'!J16</f>
        <v>49.44444444</v>
      </c>
      <c r="J51" s="95">
        <f>'الغرفة 53'!K16</f>
        <v>0</v>
      </c>
      <c r="K51" s="96"/>
      <c r="L51" s="84">
        <v>53</v>
      </c>
      <c r="M51" s="65">
        <f t="shared" si="0"/>
        <v>570</v>
      </c>
      <c r="N51" s="144">
        <f t="shared" ref="N51:N58" si="14">IF(M51=0,"",RANK(M51,$M$51:$M$58,0))</f>
        <v>2</v>
      </c>
      <c r="O51" s="145">
        <f t="shared" si="13"/>
      </c>
      <c r="P51" s="146" t="s">
        <v>429</v>
      </c>
      <c r="Q51" s="79" t="s">
        <v>430</v>
      </c>
      <c r="R51" s="80" t="s">
        <v>431</v>
      </c>
      <c r="S51" s="80" t="s">
        <v>432</v>
      </c>
      <c r="T51" s="80" t="s">
        <v>433</v>
      </c>
      <c r="U51" s="80" t="s">
        <v>434</v>
      </c>
    </row>
    <row r="52" ht="15.75" customHeight="1" spans="1:21" x14ac:dyDescent="0.25">
      <c r="A52" s="101" t="s">
        <v>435</v>
      </c>
      <c r="B52" s="102">
        <f>'الغرفة 54'!C16</f>
        <v>163.3333333</v>
      </c>
      <c r="C52" s="102">
        <f>'الغرفة 54'!D16</f>
        <v>67.22222222</v>
      </c>
      <c r="D52" s="102">
        <f>'الغرفة 54'!E16</f>
        <v>64.44444444</v>
      </c>
      <c r="E52" s="102">
        <f>'الغرفة 54'!F16</f>
        <v>63.88888889</v>
      </c>
      <c r="F52" s="102">
        <f>'الغرفة 54'!G16</f>
        <v>46.66666667</v>
      </c>
      <c r="G52" s="102">
        <f>'الغرفة 54'!H16</f>
        <v>46.33333333</v>
      </c>
      <c r="H52" s="102">
        <f>'الغرفة 54'!I16</f>
        <v>46.11111111</v>
      </c>
      <c r="I52" s="102">
        <f>'الغرفة 54'!J16</f>
        <v>45.55555556</v>
      </c>
      <c r="J52" s="102">
        <f>'الغرفة 54'!K16</f>
        <v>0</v>
      </c>
      <c r="K52" s="103"/>
      <c r="L52" s="84">
        <v>54</v>
      </c>
      <c r="M52" s="75">
        <f t="shared" si="0"/>
        <v>543.5555556</v>
      </c>
      <c r="N52" s="128">
        <f t="shared" si="14"/>
        <v>4</v>
      </c>
      <c r="O52" s="77">
        <f t="shared" si="13"/>
      </c>
      <c r="P52" s="78"/>
      <c r="Q52" s="79" t="s">
        <v>436</v>
      </c>
      <c r="R52" s="80" t="s">
        <v>437</v>
      </c>
      <c r="S52" s="80" t="s">
        <v>438</v>
      </c>
      <c r="T52" s="80" t="s">
        <v>439</v>
      </c>
      <c r="U52" s="80" t="s">
        <v>440</v>
      </c>
    </row>
    <row r="53" ht="15.75" customHeight="1" spans="1:21" x14ac:dyDescent="0.25">
      <c r="A53" s="101" t="s">
        <v>441</v>
      </c>
      <c r="B53" s="102">
        <f>'الغرفة 55'!C16</f>
        <v>162.2222222</v>
      </c>
      <c r="C53" s="102">
        <f>'الغرفة 55'!D16</f>
        <v>60.55555556</v>
      </c>
      <c r="D53" s="102">
        <f>'الغرفة 55'!E16</f>
        <v>58.88888889</v>
      </c>
      <c r="E53" s="102">
        <f>'الغرفة 55'!F16</f>
        <v>57.22222222</v>
      </c>
      <c r="F53" s="102">
        <f>'الغرفة 55'!G16</f>
        <v>46.66666667</v>
      </c>
      <c r="G53" s="102">
        <f>'الغرفة 55'!H16</f>
        <v>45</v>
      </c>
      <c r="H53" s="102">
        <f>'الغرفة 55'!I16</f>
        <v>45</v>
      </c>
      <c r="I53" s="102">
        <f>'الغرفة 55'!J16</f>
        <v>47.22222222</v>
      </c>
      <c r="J53" s="102">
        <f>'الغرفة 55'!K16</f>
        <v>0</v>
      </c>
      <c r="K53" s="103"/>
      <c r="L53" s="84">
        <v>55</v>
      </c>
      <c r="M53" s="75">
        <f t="shared" si="0"/>
        <v>522.7777778</v>
      </c>
      <c r="N53" s="128">
        <f t="shared" si="14"/>
        <v>7</v>
      </c>
      <c r="O53" s="77">
        <f t="shared" si="13"/>
      </c>
      <c r="P53" s="78"/>
      <c r="Q53" s="79" t="s">
        <v>442</v>
      </c>
      <c r="R53" s="80" t="s">
        <v>443</v>
      </c>
      <c r="S53" s="115" t="s">
        <v>36</v>
      </c>
      <c r="T53" s="80" t="s">
        <v>444</v>
      </c>
      <c r="U53" s="80" t="s">
        <v>445</v>
      </c>
    </row>
    <row r="54" ht="15.75" customHeight="1" spans="1:21" x14ac:dyDescent="0.25">
      <c r="A54" s="101" t="s">
        <v>446</v>
      </c>
      <c r="B54" s="102">
        <f>'الغرفة 56'!C16</f>
        <v>162.7777778</v>
      </c>
      <c r="C54" s="102">
        <f>'الغرفة 56'!D16</f>
        <v>63.33333333</v>
      </c>
      <c r="D54" s="102">
        <f>'الغرفة 56'!E16</f>
        <v>58.88888889</v>
      </c>
      <c r="E54" s="102">
        <f>'الغرفة 56'!F16</f>
        <v>58.88888889</v>
      </c>
      <c r="F54" s="102">
        <f>'الغرفة 56'!G16</f>
        <v>45</v>
      </c>
      <c r="G54" s="102">
        <f>'الغرفة 56'!H16</f>
        <v>38.88888889</v>
      </c>
      <c r="H54" s="102">
        <f>'الغرفة 56'!I16</f>
        <v>47.22222222</v>
      </c>
      <c r="I54" s="102">
        <f>'الغرفة 56'!J16</f>
        <v>42.22222222</v>
      </c>
      <c r="J54" s="102">
        <f>'الغرفة 56'!K16</f>
        <v>0</v>
      </c>
      <c r="K54" s="103"/>
      <c r="L54" s="84">
        <v>56</v>
      </c>
      <c r="M54" s="75">
        <f t="shared" si="0"/>
        <v>517.2222222</v>
      </c>
      <c r="N54" s="128">
        <f t="shared" si="14"/>
        <v>8</v>
      </c>
      <c r="O54" s="77" t="str">
        <f t="shared" si="13"/>
        <v>أدنى الغرف</v>
      </c>
      <c r="P54" s="78"/>
      <c r="Q54" s="79" t="s">
        <v>447</v>
      </c>
      <c r="R54" s="80" t="s">
        <v>448</v>
      </c>
      <c r="S54" s="115" t="s">
        <v>36</v>
      </c>
      <c r="T54" s="80" t="s">
        <v>449</v>
      </c>
      <c r="U54" s="80" t="s">
        <v>450</v>
      </c>
    </row>
    <row r="55" ht="15.75" customHeight="1" spans="1:21" x14ac:dyDescent="0.25">
      <c r="A55" s="101" t="s">
        <v>451</v>
      </c>
      <c r="B55" s="102">
        <f>'الغرفة 57'!C16</f>
        <v>162.7777778</v>
      </c>
      <c r="C55" s="102">
        <f>'الغرفة 57'!D16</f>
        <v>60.55555556</v>
      </c>
      <c r="D55" s="102">
        <f>'الغرفة 57'!E16</f>
        <v>60.55555556</v>
      </c>
      <c r="E55" s="102">
        <f>'الغرفة 57'!F16</f>
        <v>61.11111111</v>
      </c>
      <c r="F55" s="102">
        <f>'الغرفة 57'!G16</f>
        <v>46.11111111</v>
      </c>
      <c r="G55" s="102">
        <f>'الغرفة 57'!H16</f>
        <v>48.88888889</v>
      </c>
      <c r="H55" s="102">
        <f>'الغرفة 57'!I16</f>
        <v>48.88888889</v>
      </c>
      <c r="I55" s="102">
        <f>'الغرفة 57'!J16</f>
        <v>45</v>
      </c>
      <c r="J55" s="102">
        <f>'الغرفة 57'!K16</f>
        <v>0</v>
      </c>
      <c r="K55" s="103"/>
      <c r="L55" s="84">
        <v>57</v>
      </c>
      <c r="M55" s="75">
        <f t="shared" si="0"/>
        <v>533.8888889</v>
      </c>
      <c r="N55" s="128">
        <f t="shared" si="14"/>
        <v>6</v>
      </c>
      <c r="O55" s="77">
        <f t="shared" si="13"/>
      </c>
      <c r="P55" s="78"/>
      <c r="Q55" s="79" t="s">
        <v>114</v>
      </c>
      <c r="R55" s="80" t="s">
        <v>452</v>
      </c>
      <c r="S55" s="115" t="s">
        <v>36</v>
      </c>
      <c r="T55" s="80" t="s">
        <v>453</v>
      </c>
      <c r="U55" s="80" t="s">
        <v>454</v>
      </c>
    </row>
    <row r="56" ht="15.75" customHeight="1" spans="1:21" x14ac:dyDescent="0.25">
      <c r="A56" s="101" t="s">
        <v>455</v>
      </c>
      <c r="B56" s="102">
        <f>'الغرفة 58'!C16</f>
        <v>165.8888889</v>
      </c>
      <c r="C56" s="102">
        <f>'الغرفة 58'!D16</f>
        <v>65.55555556</v>
      </c>
      <c r="D56" s="102">
        <f>'الغرفة 58'!E16</f>
        <v>61.66666667</v>
      </c>
      <c r="E56" s="102">
        <f>'الغرفة 58'!F16</f>
        <v>62.22222222</v>
      </c>
      <c r="F56" s="102">
        <f>'الغرفة 58'!G16</f>
        <v>43.88888889</v>
      </c>
      <c r="G56" s="102">
        <f>'الغرفة 58'!H16</f>
        <v>46.11111111</v>
      </c>
      <c r="H56" s="102">
        <f>'الغرفة 58'!I16</f>
        <v>45</v>
      </c>
      <c r="I56" s="102">
        <f>'الغرفة 58'!J16</f>
        <v>47.77777778</v>
      </c>
      <c r="J56" s="102">
        <f>'الغرفة 58'!K16</f>
        <v>0</v>
      </c>
      <c r="K56" s="103"/>
      <c r="L56" s="84">
        <v>58</v>
      </c>
      <c r="M56" s="75">
        <f t="shared" si="0"/>
        <v>538.1111111</v>
      </c>
      <c r="N56" s="128">
        <f t="shared" si="14"/>
        <v>5</v>
      </c>
      <c r="O56" s="77">
        <f t="shared" si="13"/>
      </c>
      <c r="P56" s="78"/>
      <c r="Q56" s="79" t="s">
        <v>456</v>
      </c>
      <c r="R56" s="80" t="s">
        <v>457</v>
      </c>
      <c r="S56" s="80" t="s">
        <v>458</v>
      </c>
      <c r="T56" s="80" t="s">
        <v>459</v>
      </c>
      <c r="U56" s="80" t="s">
        <v>460</v>
      </c>
    </row>
    <row r="57" ht="15.75" customHeight="1" spans="1:21" x14ac:dyDescent="0.25">
      <c r="A57" s="101" t="s">
        <v>461</v>
      </c>
      <c r="B57" s="102">
        <f>'الغرفة 59'!C16</f>
        <v>175.5555556</v>
      </c>
      <c r="C57" s="102">
        <f>'الغرفة 59'!D16</f>
        <v>76.11111111</v>
      </c>
      <c r="D57" s="102">
        <f>'الغرفة 59'!E16</f>
        <v>75</v>
      </c>
      <c r="E57" s="102">
        <f>'الغرفة 59'!F16</f>
        <v>73.33333333</v>
      </c>
      <c r="F57" s="102">
        <f>'الغرفة 59'!G16</f>
        <v>51.11111111</v>
      </c>
      <c r="G57" s="102">
        <f>'الغرفة 59'!H16</f>
        <v>52.22222222</v>
      </c>
      <c r="H57" s="102">
        <f>'الغرفة 59'!I16</f>
        <v>53.33333333</v>
      </c>
      <c r="I57" s="102">
        <f>'الغرفة 59'!J16</f>
        <v>51.66666667</v>
      </c>
      <c r="J57" s="102">
        <f>'الغرفة 59'!K16</f>
        <v>0</v>
      </c>
      <c r="K57" s="103"/>
      <c r="L57" s="84">
        <v>59</v>
      </c>
      <c r="M57" s="75">
        <f t="shared" si="0"/>
        <v>608.3333333</v>
      </c>
      <c r="N57" s="128">
        <f t="shared" si="14"/>
        <v>1</v>
      </c>
      <c r="O57" s="77" t="str">
        <f t="shared" si="13"/>
        <v>أحسن الغرف</v>
      </c>
      <c r="P57" s="78"/>
      <c r="Q57" s="79" t="s">
        <v>462</v>
      </c>
      <c r="R57" s="80" t="s">
        <v>463</v>
      </c>
      <c r="S57" s="80" t="s">
        <v>464</v>
      </c>
      <c r="T57" s="80" t="s">
        <v>465</v>
      </c>
      <c r="U57" s="80" t="s">
        <v>466</v>
      </c>
    </row>
    <row r="58" ht="15.75" customHeight="1" spans="1:21" x14ac:dyDescent="0.25">
      <c r="A58" s="116" t="s">
        <v>467</v>
      </c>
      <c r="B58" s="117">
        <f>'الغرفة 60'!C16</f>
        <v>166.1111111</v>
      </c>
      <c r="C58" s="117">
        <f>'الغرفة 60'!D16</f>
        <v>64.44444444</v>
      </c>
      <c r="D58" s="117">
        <f>'الغرفة 60'!E16</f>
        <v>68.33333333</v>
      </c>
      <c r="E58" s="117">
        <f>'الغرفة 60'!F16</f>
        <v>66.11111111</v>
      </c>
      <c r="F58" s="117">
        <f>'الغرفة 60'!G16</f>
        <v>50</v>
      </c>
      <c r="G58" s="117">
        <f>'الغرفة 60'!H16</f>
        <v>45</v>
      </c>
      <c r="H58" s="117">
        <f>'الغرفة 60'!I16</f>
        <v>45.55555556</v>
      </c>
      <c r="I58" s="117">
        <f>'الغرفة 60'!J16</f>
        <v>46.11111111</v>
      </c>
      <c r="J58" s="117">
        <f>'الغرفة 60'!K16</f>
        <v>0</v>
      </c>
      <c r="K58" s="118"/>
      <c r="L58" s="84">
        <v>60</v>
      </c>
      <c r="M58" s="119">
        <f t="shared" si="0"/>
        <v>551.6666667</v>
      </c>
      <c r="N58" s="129">
        <f t="shared" si="14"/>
        <v>3</v>
      </c>
      <c r="O58" s="130">
        <f t="shared" si="13"/>
      </c>
      <c r="P58" s="122"/>
      <c r="Q58" s="79" t="s">
        <v>62</v>
      </c>
      <c r="R58" s="80" t="s">
        <v>468</v>
      </c>
      <c r="S58" s="115" t="s">
        <v>36</v>
      </c>
      <c r="T58" s="80" t="s">
        <v>469</v>
      </c>
      <c r="U58" s="80" t="s">
        <v>470</v>
      </c>
    </row>
    <row r="59" ht="15.75" customHeight="1" spans="1:21" x14ac:dyDescent="0.25">
      <c r="A59" s="94" t="s">
        <v>471</v>
      </c>
      <c r="B59" s="95">
        <f>'الغرفة 61'!C16</f>
        <v>231.75</v>
      </c>
      <c r="C59" s="95">
        <f>'الغرفة 61'!D16</f>
        <v>77.66666667</v>
      </c>
      <c r="D59" s="95">
        <f>'الغرفة 61'!E16</f>
        <v>79.91666667</v>
      </c>
      <c r="E59" s="95">
        <f>'الغرفة 61'!F16</f>
        <v>78.33333333</v>
      </c>
      <c r="F59" s="95">
        <f>'الغرفة 61'!G16</f>
        <v>59.16666667</v>
      </c>
      <c r="G59" s="95">
        <f>'الغرفة 61'!H16</f>
        <v>58.5</v>
      </c>
      <c r="H59" s="95">
        <f>'الغرفة 61'!I16</f>
        <v>60</v>
      </c>
      <c r="I59" s="95">
        <f>'الغرفة 61'!J16</f>
        <v>60.08333333</v>
      </c>
      <c r="J59" s="95">
        <f>'الغرفة 61'!K16</f>
        <v>0</v>
      </c>
      <c r="K59" s="96"/>
      <c r="L59" s="84">
        <v>61</v>
      </c>
      <c r="M59" s="147">
        <f t="shared" si="0"/>
        <v>705.4166667</v>
      </c>
      <c r="N59" s="148">
        <f t="shared" ref="N59:N66" si="15">IF(M59=0,"",RANK(M59,$M$59:$M$66,0))</f>
        <v>4</v>
      </c>
      <c r="O59" s="149">
        <f t="shared" si="13"/>
      </c>
      <c r="P59" s="150" t="s">
        <v>472</v>
      </c>
      <c r="Q59" s="79" t="s">
        <v>473</v>
      </c>
      <c r="R59" s="80" t="s">
        <v>474</v>
      </c>
      <c r="S59" s="80" t="s">
        <v>475</v>
      </c>
      <c r="T59" s="80" t="s">
        <v>476</v>
      </c>
      <c r="U59" s="80" t="s">
        <v>477</v>
      </c>
    </row>
    <row r="60" ht="15.75" customHeight="1" spans="1:21" x14ac:dyDescent="0.25">
      <c r="A60" s="101" t="s">
        <v>478</v>
      </c>
      <c r="B60" s="102">
        <f>'الغرفة 62'!C16</f>
        <v>216.5</v>
      </c>
      <c r="C60" s="102">
        <f>'الغرفة 62'!D16</f>
        <v>72.33333333</v>
      </c>
      <c r="D60" s="102">
        <f>'الغرفة 62'!E16</f>
        <v>72.75</v>
      </c>
      <c r="E60" s="102">
        <f>'الغرفة 62'!F16</f>
        <v>75.58333333</v>
      </c>
      <c r="F60" s="102">
        <f>'الغرفة 62'!G16</f>
        <v>55.66666667</v>
      </c>
      <c r="G60" s="102">
        <f>'الغرفة 62'!H16</f>
        <v>53.83333333</v>
      </c>
      <c r="H60" s="102">
        <f>'الغرفة 62'!I16</f>
        <v>54.83333333</v>
      </c>
      <c r="I60" s="102">
        <f>'الغرفة 62'!J16</f>
        <v>55.66666667</v>
      </c>
      <c r="J60" s="102">
        <f>'الغرفة 62'!K16</f>
        <v>0</v>
      </c>
      <c r="K60" s="103"/>
      <c r="L60" s="84">
        <v>62</v>
      </c>
      <c r="M60" s="151">
        <f t="shared" si="0"/>
        <v>657.1666667</v>
      </c>
      <c r="N60" s="152">
        <f t="shared" si="15"/>
        <v>7</v>
      </c>
      <c r="O60" s="153">
        <f t="shared" si="13"/>
      </c>
      <c r="P60" s="154"/>
      <c r="Q60" s="79" t="s">
        <v>479</v>
      </c>
      <c r="R60" s="80" t="s">
        <v>480</v>
      </c>
      <c r="S60" s="80" t="s">
        <v>481</v>
      </c>
      <c r="T60" s="80" t="s">
        <v>482</v>
      </c>
      <c r="U60" s="80" t="s">
        <v>483</v>
      </c>
    </row>
    <row r="61" ht="15.75" customHeight="1" spans="1:21" x14ac:dyDescent="0.25">
      <c r="A61" s="101" t="s">
        <v>484</v>
      </c>
      <c r="B61" s="102">
        <f>'الغرفة 63'!C16</f>
        <v>251.25</v>
      </c>
      <c r="C61" s="102">
        <f>'الغرفة 63'!D16</f>
        <v>85.25</v>
      </c>
      <c r="D61" s="102">
        <f>'الغرفة 63'!E16</f>
        <v>88.08333333</v>
      </c>
      <c r="E61" s="102">
        <f>'الغرفة 63'!F16</f>
        <v>84.25</v>
      </c>
      <c r="F61" s="102">
        <f>'الغرفة 63'!G16</f>
        <v>63.83333333</v>
      </c>
      <c r="G61" s="102">
        <f>'الغرفة 63'!H16</f>
        <v>64.08333333</v>
      </c>
      <c r="H61" s="102">
        <f>'الغرفة 63'!I16</f>
        <v>63.25</v>
      </c>
      <c r="I61" s="102">
        <f>'الغرفة 63'!J16</f>
        <v>63.91666667</v>
      </c>
      <c r="J61" s="102">
        <f>'الغرفة 63'!K16</f>
        <v>0</v>
      </c>
      <c r="K61" s="103"/>
      <c r="L61" s="84">
        <v>63</v>
      </c>
      <c r="M61" s="151">
        <f t="shared" si="0"/>
        <v>763.9166667</v>
      </c>
      <c r="N61" s="152">
        <f t="shared" si="15"/>
        <v>2</v>
      </c>
      <c r="O61" s="153">
        <f t="shared" si="13"/>
      </c>
      <c r="P61" s="154"/>
      <c r="Q61" s="79" t="s">
        <v>67</v>
      </c>
      <c r="R61" s="80" t="s">
        <v>485</v>
      </c>
      <c r="S61" s="80" t="s">
        <v>486</v>
      </c>
      <c r="T61" s="80" t="s">
        <v>487</v>
      </c>
      <c r="U61" s="80" t="s">
        <v>488</v>
      </c>
    </row>
    <row r="62" ht="15.75" customHeight="1" spans="1:21" x14ac:dyDescent="0.25">
      <c r="A62" s="101" t="s">
        <v>489</v>
      </c>
      <c r="B62" s="102">
        <f>'الغرفة 64'!C16</f>
        <v>276.9166667</v>
      </c>
      <c r="C62" s="102">
        <f>'الغرفة 64'!D16</f>
        <v>92</v>
      </c>
      <c r="D62" s="102">
        <f>'الغرفة 64'!E16</f>
        <v>90.08333333</v>
      </c>
      <c r="E62" s="102">
        <f>'الغرفة 64'!F16</f>
        <v>91.16666667</v>
      </c>
      <c r="F62" s="102">
        <f>'الغرفة 64'!G16</f>
        <v>66.41666667</v>
      </c>
      <c r="G62" s="102">
        <f>'الغرفة 64'!H16</f>
        <v>68.41666667</v>
      </c>
      <c r="H62" s="102">
        <f>'الغرفة 64'!I16</f>
        <v>67.08333333</v>
      </c>
      <c r="I62" s="102">
        <f>'الغرفة 64'!J16</f>
        <v>68.91666667</v>
      </c>
      <c r="J62" s="102">
        <f>'الغرفة 64'!K16</f>
        <v>0</v>
      </c>
      <c r="K62" s="103"/>
      <c r="L62" s="84">
        <v>64</v>
      </c>
      <c r="M62" s="151">
        <f t="shared" si="0"/>
        <v>821</v>
      </c>
      <c r="N62" s="152">
        <f t="shared" si="15"/>
        <v>1</v>
      </c>
      <c r="O62" s="153" t="str">
        <f t="shared" si="13"/>
        <v>أحسن الغرف</v>
      </c>
      <c r="P62" s="154"/>
      <c r="Q62" s="79" t="s">
        <v>490</v>
      </c>
      <c r="R62" s="80" t="s">
        <v>491</v>
      </c>
      <c r="S62" s="80" t="s">
        <v>492</v>
      </c>
      <c r="T62" s="80" t="s">
        <v>493</v>
      </c>
      <c r="U62" s="80" t="s">
        <v>494</v>
      </c>
    </row>
    <row r="63" ht="15.75" customHeight="1" spans="1:21" x14ac:dyDescent="0.25">
      <c r="A63" s="116" t="s">
        <v>495</v>
      </c>
      <c r="B63" s="117">
        <f>'الغرفة 65'!C16</f>
        <v>232.6666667</v>
      </c>
      <c r="C63" s="117">
        <f>'الغرفة 65'!D16</f>
        <v>77.16666667</v>
      </c>
      <c r="D63" s="117">
        <f>'الغرفة 65'!E16</f>
        <v>76.08333333</v>
      </c>
      <c r="E63" s="117">
        <f>'الغرفة 65'!F16</f>
        <v>76.08333333</v>
      </c>
      <c r="F63" s="117">
        <f>'الغرفة 65'!G16</f>
        <v>57.91666667</v>
      </c>
      <c r="G63" s="117">
        <f>'الغرفة 65'!H16</f>
        <v>57</v>
      </c>
      <c r="H63" s="117">
        <f>'الغرفة 65'!I16</f>
        <v>57.5</v>
      </c>
      <c r="I63" s="117">
        <f>'الغرفة 65'!J16</f>
        <v>59.41666667</v>
      </c>
      <c r="J63" s="117">
        <f>'الغرفة 65'!K16</f>
        <v>0</v>
      </c>
      <c r="K63" s="118"/>
      <c r="L63" s="84">
        <v>65</v>
      </c>
      <c r="M63" s="151">
        <f t="shared" si="0"/>
        <v>693.8333333</v>
      </c>
      <c r="N63" s="155">
        <f t="shared" si="15"/>
        <v>5</v>
      </c>
      <c r="O63" s="153">
        <f t="shared" si="13"/>
      </c>
      <c r="P63" s="156"/>
      <c r="Q63" s="79" t="s">
        <v>496</v>
      </c>
      <c r="R63" s="80" t="s">
        <v>497</v>
      </c>
      <c r="S63" s="115" t="s">
        <v>36</v>
      </c>
      <c r="T63" s="80" t="s">
        <v>498</v>
      </c>
      <c r="U63" s="80" t="s">
        <v>499</v>
      </c>
    </row>
    <row r="64" ht="15.75" customHeight="1" spans="1:21" x14ac:dyDescent="0.25">
      <c r="A64" s="94" t="s">
        <v>500</v>
      </c>
      <c r="B64" s="95">
        <f>'الغرفة 36'!C16</f>
        <v>212.0833333</v>
      </c>
      <c r="C64" s="95">
        <f>'الغرفة 36'!D16</f>
        <v>69.58333333</v>
      </c>
      <c r="D64" s="95">
        <f>'الغرفة 36'!E16</f>
        <v>69.58333333</v>
      </c>
      <c r="E64" s="95">
        <f>'الغرفة 36'!F16</f>
        <v>68.83333333</v>
      </c>
      <c r="F64" s="95">
        <f>'الغرفة 36'!G16</f>
        <v>53.25</v>
      </c>
      <c r="G64" s="95">
        <f>'الغرفة 36'!H16</f>
        <v>51.33333333</v>
      </c>
      <c r="H64" s="95">
        <f>'الغرفة 36'!I16</f>
        <v>52.75</v>
      </c>
      <c r="I64" s="95">
        <f>'الغرفة 36'!J16</f>
        <v>52.66666667</v>
      </c>
      <c r="J64" s="95">
        <f>'الغرفة 36'!K16</f>
        <v>0</v>
      </c>
      <c r="K64" s="96"/>
      <c r="L64" s="84">
        <v>36</v>
      </c>
      <c r="M64" s="151">
        <f t="shared" si="0"/>
        <v>630.0833333</v>
      </c>
      <c r="N64" s="148">
        <f t="shared" si="15"/>
        <v>8</v>
      </c>
      <c r="O64" s="153" t="str">
        <f t="shared" si="13"/>
        <v>أدنى الغرف</v>
      </c>
      <c r="P64" s="157" t="s">
        <v>501</v>
      </c>
      <c r="Q64" s="79" t="s">
        <v>502</v>
      </c>
      <c r="R64" s="80" t="s">
        <v>503</v>
      </c>
      <c r="S64" s="80" t="s">
        <v>504</v>
      </c>
      <c r="T64" s="80" t="s">
        <v>505</v>
      </c>
      <c r="U64" s="80" t="s">
        <v>506</v>
      </c>
    </row>
    <row r="65" ht="15.75" customHeight="1" spans="1:21" x14ac:dyDescent="0.25">
      <c r="A65" s="101" t="s">
        <v>507</v>
      </c>
      <c r="B65" s="102">
        <f>'الغرفة 37'!C16</f>
        <v>243.0833333</v>
      </c>
      <c r="C65" s="102">
        <f>'الغرفة 37'!D16</f>
        <v>81.33333333</v>
      </c>
      <c r="D65" s="102">
        <f>'الغرفة 37'!E16</f>
        <v>83.5</v>
      </c>
      <c r="E65" s="102">
        <f>'الغرفة 37'!F16</f>
        <v>84.41666667</v>
      </c>
      <c r="F65" s="102">
        <f>'الغرفة 37'!G16</f>
        <v>61.66666667</v>
      </c>
      <c r="G65" s="102">
        <f>'الغرفة 37'!H16</f>
        <v>63.5</v>
      </c>
      <c r="H65" s="102">
        <f>'الغرفة 37'!I16</f>
        <v>61.5</v>
      </c>
      <c r="I65" s="102">
        <f>'الغرفة 37'!J16</f>
        <v>61.75</v>
      </c>
      <c r="J65" s="102">
        <f>'الغرفة 37'!K16</f>
        <v>0</v>
      </c>
      <c r="K65" s="103"/>
      <c r="L65" s="84">
        <v>37</v>
      </c>
      <c r="M65" s="151">
        <f t="shared" si="0"/>
        <v>740.75</v>
      </c>
      <c r="N65" s="152">
        <f t="shared" si="15"/>
        <v>3</v>
      </c>
      <c r="O65" s="153">
        <f t="shared" si="13"/>
      </c>
      <c r="P65" s="154"/>
      <c r="Q65" s="79" t="s">
        <v>110</v>
      </c>
      <c r="R65" s="80" t="s">
        <v>508</v>
      </c>
      <c r="S65" s="80" t="s">
        <v>509</v>
      </c>
      <c r="T65" s="80" t="s">
        <v>510</v>
      </c>
      <c r="U65" s="80" t="s">
        <v>511</v>
      </c>
    </row>
    <row r="66" ht="15.75" customHeight="1" spans="1:21" x14ac:dyDescent="0.25">
      <c r="A66" s="116" t="s">
        <v>512</v>
      </c>
      <c r="B66" s="117">
        <f>'الغرفة 38'!C16</f>
        <v>224.25</v>
      </c>
      <c r="C66" s="117">
        <f>'الغرفة 38'!D16</f>
        <v>72.41666667</v>
      </c>
      <c r="D66" s="117">
        <f>'الغرفة 38'!E16</f>
        <v>76.41666667</v>
      </c>
      <c r="E66" s="117">
        <f>'الغرفة 38'!F16</f>
        <v>74</v>
      </c>
      <c r="F66" s="117">
        <f>'الغرفة 38'!G16</f>
        <v>56.33333333</v>
      </c>
      <c r="G66" s="117">
        <f>'الغرفة 38'!H16</f>
        <v>55.91666667</v>
      </c>
      <c r="H66" s="117">
        <f>'الغرفة 38'!I16</f>
        <v>57.08333333</v>
      </c>
      <c r="I66" s="117">
        <f>'الغرفة 38'!J16</f>
        <v>57.33333333</v>
      </c>
      <c r="J66" s="117">
        <f>'الغرفة 38'!K16</f>
        <v>0</v>
      </c>
      <c r="K66" s="118"/>
      <c r="L66" s="84">
        <v>38</v>
      </c>
      <c r="M66" s="158">
        <f t="shared" si="0"/>
        <v>673.75</v>
      </c>
      <c r="N66" s="155">
        <f t="shared" si="15"/>
        <v>6</v>
      </c>
      <c r="O66" s="159">
        <f t="shared" si="13"/>
      </c>
      <c r="P66" s="156"/>
      <c r="Q66" s="79" t="s">
        <v>44</v>
      </c>
      <c r="R66" s="80" t="s">
        <v>513</v>
      </c>
      <c r="S66" s="115" t="s">
        <v>36</v>
      </c>
      <c r="T66" s="80" t="s">
        <v>514</v>
      </c>
      <c r="U66" s="80" t="s">
        <v>515</v>
      </c>
    </row>
    <row r="67" ht="15.75" customHeight="1" spans="1:21" x14ac:dyDescent="0.25">
      <c r="A67" s="160" t="s">
        <v>516</v>
      </c>
      <c r="B67" s="124">
        <f>'الغرفة 1 دلوى 4'!C16</f>
        <v>225</v>
      </c>
      <c r="C67" s="124">
        <f>'الغرفة 1 دلوى 4'!D16</f>
        <v>100</v>
      </c>
      <c r="D67" s="124">
        <f>'الغرفة 1 دلوى 4'!E16</f>
        <v>100</v>
      </c>
      <c r="E67" s="124">
        <f>'الغرفة 1 دلوى 4'!F16</f>
        <v>100</v>
      </c>
      <c r="F67" s="124">
        <f>'الغرفة 1 دلوى 4'!G16</f>
        <v>50</v>
      </c>
      <c r="G67" s="124">
        <f>'الغرفة 1 دلوى 4'!H16</f>
        <v>50</v>
      </c>
      <c r="H67" s="124">
        <f>'الغرفة 1 دلوى 4'!I16</f>
        <v>56</v>
      </c>
      <c r="I67" s="124">
        <f>'الغرفة 1 دلوى 4'!J16</f>
        <v>50</v>
      </c>
      <c r="J67" s="124">
        <f>'الغرفة 1 دلوى 4'!K16</f>
        <v>0</v>
      </c>
      <c r="K67" s="125"/>
      <c r="L67" s="84">
        <v>1</v>
      </c>
      <c r="M67" s="65">
        <f t="shared" si="0"/>
        <v>731</v>
      </c>
      <c r="N67" s="144">
        <f t="shared" ref="N67:N75" si="16">IF(M67=0,"",RANK(M67,$M$67:$M$75,0))</f>
        <v>6</v>
      </c>
      <c r="O67" s="145">
        <f t="shared" ref="O67:O84" si="17">IF(N67=1,"أحسن الغرف",IF(N67=9,"أدنى الغرف",""))</f>
      </c>
      <c r="P67" s="161" t="s">
        <v>517</v>
      </c>
      <c r="Q67" s="79" t="s">
        <v>518</v>
      </c>
      <c r="R67" s="80" t="s">
        <v>519</v>
      </c>
      <c r="S67" s="115" t="s">
        <v>36</v>
      </c>
      <c r="T67" s="80" t="s">
        <v>520</v>
      </c>
      <c r="U67" s="80" t="s">
        <v>521</v>
      </c>
    </row>
    <row r="68" ht="15.75" customHeight="1" spans="1:21" x14ac:dyDescent="0.25">
      <c r="A68" s="162" t="s">
        <v>522</v>
      </c>
      <c r="B68" s="102">
        <f>'الغرفة 2 دلوى 4'!C16</f>
        <v>227.4</v>
      </c>
      <c r="C68" s="102">
        <f>'الغرفة 2 دلوى 4'!D16</f>
        <v>100</v>
      </c>
      <c r="D68" s="102">
        <f>'الغرفة 2 دلوى 4'!E16</f>
        <v>100</v>
      </c>
      <c r="E68" s="102">
        <f>'الغرفة 2 دلوى 4'!F16</f>
        <v>100</v>
      </c>
      <c r="F68" s="102">
        <f>'الغرفة 2 دلوى 4'!G16</f>
        <v>50</v>
      </c>
      <c r="G68" s="102">
        <f>'الغرفة 2 دلوى 4'!H16</f>
        <v>50</v>
      </c>
      <c r="H68" s="102">
        <f>'الغرفة 2 دلوى 4'!I16</f>
        <v>50</v>
      </c>
      <c r="I68" s="102">
        <f>'الغرفة 2 دلوى 4'!J16</f>
        <v>50</v>
      </c>
      <c r="J68" s="102">
        <f>'الغرفة 2 دلوى 4'!K16</f>
        <v>0</v>
      </c>
      <c r="K68" s="103"/>
      <c r="L68" s="84">
        <v>2</v>
      </c>
      <c r="M68" s="75">
        <f t="shared" si="0"/>
        <v>727.4</v>
      </c>
      <c r="N68" s="128">
        <f t="shared" si="16"/>
        <v>8</v>
      </c>
      <c r="O68" s="77">
        <f t="shared" si="17"/>
      </c>
      <c r="P68" s="78"/>
      <c r="Q68" s="79" t="s">
        <v>523</v>
      </c>
      <c r="R68" s="80" t="s">
        <v>524</v>
      </c>
      <c r="S68" s="80" t="s">
        <v>525</v>
      </c>
      <c r="T68" s="80" t="s">
        <v>526</v>
      </c>
      <c r="U68" s="80" t="s">
        <v>527</v>
      </c>
    </row>
    <row r="69" ht="15.75" customHeight="1" spans="1:21" x14ac:dyDescent="0.25">
      <c r="A69" s="162" t="s">
        <v>528</v>
      </c>
      <c r="B69" s="102">
        <f>'الغرفة 3 دلوى 4'!C16</f>
        <v>240</v>
      </c>
      <c r="C69" s="102">
        <f>'الغرفة 3 دلوى 4'!D16</f>
        <v>100</v>
      </c>
      <c r="D69" s="102">
        <f>'الغرفة 3 دلوى 4'!E16</f>
        <v>98</v>
      </c>
      <c r="E69" s="102">
        <f>'الغرفة 3 دلوى 4'!F16</f>
        <v>98</v>
      </c>
      <c r="F69" s="102">
        <f>'الغرفة 3 دلوى 4'!G16</f>
        <v>50</v>
      </c>
      <c r="G69" s="102">
        <f>'الغرفة 3 دلوى 4'!H16</f>
        <v>50</v>
      </c>
      <c r="H69" s="102">
        <f>'الغرفة 3 دلوى 4'!I16</f>
        <v>50</v>
      </c>
      <c r="I69" s="102">
        <f>'الغرفة 3 دلوى 4'!J16</f>
        <v>50</v>
      </c>
      <c r="J69" s="102">
        <f>'الغرفة 3 دلوى 4'!K16</f>
        <v>0</v>
      </c>
      <c r="K69" s="103"/>
      <c r="L69" s="84">
        <v>3</v>
      </c>
      <c r="M69" s="75">
        <f t="shared" si="0"/>
        <v>736</v>
      </c>
      <c r="N69" s="128">
        <f t="shared" si="16"/>
        <v>5</v>
      </c>
      <c r="O69" s="77">
        <f t="shared" si="17"/>
      </c>
      <c r="P69" s="78"/>
      <c r="Q69" s="79" t="s">
        <v>529</v>
      </c>
      <c r="R69" s="80" t="s">
        <v>530</v>
      </c>
      <c r="S69" s="80" t="s">
        <v>531</v>
      </c>
      <c r="T69" s="80" t="s">
        <v>532</v>
      </c>
      <c r="U69" s="80" t="s">
        <v>533</v>
      </c>
    </row>
    <row r="70" ht="15.75" customHeight="1" spans="1:21" x14ac:dyDescent="0.25">
      <c r="A70" s="162" t="s">
        <v>534</v>
      </c>
      <c r="B70" s="102">
        <f>'الغرفة 4 دلوى 4'!C16</f>
        <v>231</v>
      </c>
      <c r="C70" s="102">
        <f>'الغرفة 4 دلوى 4'!D16</f>
        <v>100</v>
      </c>
      <c r="D70" s="102">
        <f>'الغرفة 4 دلوى 4'!E16</f>
        <v>100</v>
      </c>
      <c r="E70" s="102">
        <f>'الغرفة 4 دلوى 4'!F16</f>
        <v>100</v>
      </c>
      <c r="F70" s="102">
        <f>'الغرفة 4 دلوى 4'!G16</f>
        <v>50</v>
      </c>
      <c r="G70" s="102">
        <f>'الغرفة 4 دلوى 4'!H16</f>
        <v>50</v>
      </c>
      <c r="H70" s="102">
        <f>'الغرفة 4 دلوى 4'!I16</f>
        <v>62</v>
      </c>
      <c r="I70" s="102">
        <f>'الغرفة 4 دلوى 4'!J16</f>
        <v>50</v>
      </c>
      <c r="J70" s="102">
        <f>'الغرفة 4 دلوى 4'!K16</f>
        <v>0</v>
      </c>
      <c r="K70" s="103"/>
      <c r="L70" s="84">
        <v>4</v>
      </c>
      <c r="M70" s="75">
        <f t="shared" si="0"/>
        <v>743</v>
      </c>
      <c r="N70" s="128">
        <f t="shared" si="16"/>
        <v>3</v>
      </c>
      <c r="O70" s="77">
        <f t="shared" si="17"/>
      </c>
      <c r="P70" s="78"/>
      <c r="Q70" s="79" t="s">
        <v>535</v>
      </c>
      <c r="R70" s="80" t="s">
        <v>536</v>
      </c>
      <c r="S70" s="80" t="s">
        <v>537</v>
      </c>
      <c r="T70" s="80" t="s">
        <v>538</v>
      </c>
      <c r="U70" s="80" t="s">
        <v>539</v>
      </c>
    </row>
    <row r="71" ht="15.75" customHeight="1" spans="1:21" x14ac:dyDescent="0.25">
      <c r="A71" s="162" t="s">
        <v>540</v>
      </c>
      <c r="B71" s="102">
        <f>'الغرفة 5 دلوى 4'!C16</f>
        <v>240</v>
      </c>
      <c r="C71" s="102">
        <f>'الغرفة 5 دلوى 4'!D16</f>
        <v>100</v>
      </c>
      <c r="D71" s="102">
        <f>'الغرفة 5 دلوى 4'!E16</f>
        <v>98</v>
      </c>
      <c r="E71" s="102">
        <f>'الغرفة 5 دلوى 4'!F16</f>
        <v>98</v>
      </c>
      <c r="F71" s="102">
        <f>'الغرفة 5 دلوى 4'!G16</f>
        <v>50</v>
      </c>
      <c r="G71" s="102">
        <f>'الغرفة 5 دلوى 4'!H16</f>
        <v>50</v>
      </c>
      <c r="H71" s="102">
        <f>'الغرفة 5 دلوى 4'!I16</f>
        <v>62</v>
      </c>
      <c r="I71" s="102">
        <f>'الغرفة 5 دلوى 4'!J16</f>
        <v>50</v>
      </c>
      <c r="J71" s="102">
        <f>'الغرفة 5 دلوى 4'!K16</f>
        <v>0</v>
      </c>
      <c r="K71" s="103"/>
      <c r="L71" s="84">
        <v>5</v>
      </c>
      <c r="M71" s="75">
        <f t="shared" si="0"/>
        <v>748</v>
      </c>
      <c r="N71" s="128">
        <f t="shared" si="16"/>
        <v>2</v>
      </c>
      <c r="O71" s="77">
        <f t="shared" si="17"/>
      </c>
      <c r="P71" s="78"/>
      <c r="Q71" s="79" t="s">
        <v>541</v>
      </c>
      <c r="R71" s="80" t="s">
        <v>542</v>
      </c>
      <c r="S71" s="80" t="s">
        <v>543</v>
      </c>
      <c r="T71" s="80" t="s">
        <v>544</v>
      </c>
      <c r="U71" s="80" t="s">
        <v>545</v>
      </c>
    </row>
    <row r="72" ht="15.75" customHeight="1" spans="1:21" x14ac:dyDescent="0.25">
      <c r="A72" s="162" t="s">
        <v>546</v>
      </c>
      <c r="B72" s="102">
        <f>'الغرفة 6 دلوى 4'!C16</f>
        <v>231</v>
      </c>
      <c r="C72" s="102">
        <f>'الغرفة 6 دلوى 4'!D16</f>
        <v>100</v>
      </c>
      <c r="D72" s="102">
        <f>'الغرفة 6 دلوى 4'!E16</f>
        <v>100</v>
      </c>
      <c r="E72" s="102">
        <f>'الغرفة 6 دلوى 4'!F16</f>
        <v>100</v>
      </c>
      <c r="F72" s="102">
        <f>'الغرفة 6 دلوى 4'!G16</f>
        <v>50</v>
      </c>
      <c r="G72" s="102">
        <f>'الغرفة 6 دلوى 4'!H16</f>
        <v>50</v>
      </c>
      <c r="H72" s="102">
        <f>'الغرفة 6 دلوى 4'!I16</f>
        <v>50</v>
      </c>
      <c r="I72" s="102">
        <f>'الغرفة 6 دلوى 4'!J16</f>
        <v>50</v>
      </c>
      <c r="J72" s="102">
        <f>'الغرفة 6 دلوى 4'!K16</f>
        <v>0</v>
      </c>
      <c r="K72" s="103"/>
      <c r="L72" s="84">
        <v>6</v>
      </c>
      <c r="M72" s="75">
        <f t="shared" si="0"/>
        <v>731</v>
      </c>
      <c r="N72" s="128">
        <f t="shared" si="16"/>
        <v>6</v>
      </c>
      <c r="O72" s="77">
        <f t="shared" si="17"/>
      </c>
      <c r="P72" s="78"/>
      <c r="Q72" s="79" t="s">
        <v>547</v>
      </c>
      <c r="R72" s="80" t="s">
        <v>548</v>
      </c>
      <c r="S72" s="80" t="s">
        <v>549</v>
      </c>
      <c r="T72" s="80" t="s">
        <v>550</v>
      </c>
      <c r="U72" s="80" t="s">
        <v>551</v>
      </c>
    </row>
    <row r="73" ht="15.75" customHeight="1" spans="1:21" x14ac:dyDescent="0.25">
      <c r="A73" s="162" t="s">
        <v>552</v>
      </c>
      <c r="B73" s="102">
        <f>'الغرفة 7 دلوى 4'!C16</f>
        <v>230.4</v>
      </c>
      <c r="C73" s="102">
        <f>'الغرفة 7 دلوى 4'!D16</f>
        <v>100</v>
      </c>
      <c r="D73" s="102">
        <f>'الغرفة 7 دلوى 4'!E16</f>
        <v>98</v>
      </c>
      <c r="E73" s="102">
        <f>'الغرفة 7 دلوى 4'!F16</f>
        <v>98</v>
      </c>
      <c r="F73" s="102">
        <f>'الغرفة 7 دلوى 4'!G16</f>
        <v>50</v>
      </c>
      <c r="G73" s="102">
        <f>'الغرفة 7 دلوى 4'!H16</f>
        <v>50</v>
      </c>
      <c r="H73" s="102">
        <f>'الغرفة 7 دلوى 4'!I16</f>
        <v>50</v>
      </c>
      <c r="I73" s="102">
        <f>'الغرفة 7 دلوى 4'!J16</f>
        <v>50</v>
      </c>
      <c r="J73" s="102">
        <f>'الغرفة 7 دلوى 4'!K16</f>
        <v>0</v>
      </c>
      <c r="K73" s="103"/>
      <c r="L73" s="84">
        <v>7</v>
      </c>
      <c r="M73" s="75">
        <f t="shared" si="0"/>
        <v>726.4</v>
      </c>
      <c r="N73" s="128">
        <f t="shared" si="16"/>
        <v>9</v>
      </c>
      <c r="O73" s="77" t="str">
        <f t="shared" si="17"/>
        <v>أدنى الغرف</v>
      </c>
      <c r="P73" s="78"/>
      <c r="Q73" s="79" t="s">
        <v>553</v>
      </c>
      <c r="R73" s="80" t="s">
        <v>554</v>
      </c>
      <c r="S73" s="80" t="s">
        <v>555</v>
      </c>
      <c r="T73" s="80" t="s">
        <v>556</v>
      </c>
      <c r="U73" s="80" t="s">
        <v>557</v>
      </c>
    </row>
    <row r="74" ht="15.75" customHeight="1" spans="1:21" x14ac:dyDescent="0.25">
      <c r="A74" s="162" t="s">
        <v>558</v>
      </c>
      <c r="B74" s="102">
        <f>'الغرفة 8 دلوى 4'!C16</f>
        <v>237</v>
      </c>
      <c r="C74" s="102">
        <f>'الغرفة 8 دلوى 4'!D16</f>
        <v>100</v>
      </c>
      <c r="D74" s="102">
        <f>'الغرفة 8 دلوى 4'!E16</f>
        <v>100</v>
      </c>
      <c r="E74" s="102">
        <f>'الغرفة 8 دلوى 4'!F16</f>
        <v>100</v>
      </c>
      <c r="F74" s="102">
        <f>'الغرفة 8 دلوى 4'!G16</f>
        <v>50</v>
      </c>
      <c r="G74" s="102">
        <f>'الغرفة 8 دلوى 4'!H16</f>
        <v>50</v>
      </c>
      <c r="H74" s="102">
        <f>'الغرفة 8 دلوى 4'!I16</f>
        <v>62</v>
      </c>
      <c r="I74" s="102">
        <f>'الغرفة 8 دلوى 4'!J16</f>
        <v>50</v>
      </c>
      <c r="J74" s="102">
        <f>'الغرفة 8 دلوى 4'!K16</f>
        <v>0</v>
      </c>
      <c r="K74" s="103"/>
      <c r="L74" s="84">
        <v>8</v>
      </c>
      <c r="M74" s="75">
        <f t="shared" si="0"/>
        <v>749</v>
      </c>
      <c r="N74" s="128">
        <f t="shared" si="16"/>
        <v>1</v>
      </c>
      <c r="O74" s="77" t="str">
        <f t="shared" si="17"/>
        <v>أحسن الغرف</v>
      </c>
      <c r="P74" s="78"/>
      <c r="Q74" s="79" t="s">
        <v>559</v>
      </c>
      <c r="R74" s="80" t="s">
        <v>560</v>
      </c>
      <c r="S74" s="80" t="s">
        <v>561</v>
      </c>
      <c r="T74" s="80" t="s">
        <v>562</v>
      </c>
      <c r="U74" s="80" t="s">
        <v>563</v>
      </c>
    </row>
    <row r="75" ht="15.75" customHeight="1" spans="1:21" x14ac:dyDescent="0.25">
      <c r="A75" s="163" t="s">
        <v>564</v>
      </c>
      <c r="B75" s="107">
        <f>'الغرفة 9 دلوى 4'!C16</f>
        <v>230.4</v>
      </c>
      <c r="C75" s="107">
        <f>'الغرفة 9 دلوى 4'!D16</f>
        <v>100</v>
      </c>
      <c r="D75" s="107">
        <f>'الغرفة 9 دلوى 4'!E16</f>
        <v>100</v>
      </c>
      <c r="E75" s="107">
        <f>'الغرفة 9 دلوى 4'!F16</f>
        <v>100</v>
      </c>
      <c r="F75" s="107">
        <f>'الغرفة 9 دلوى 4'!G16</f>
        <v>50</v>
      </c>
      <c r="G75" s="107">
        <f>'الغرفة 9 دلوى 4'!H16</f>
        <v>50</v>
      </c>
      <c r="H75" s="107">
        <f>'الغرفة 9 دلوى 4'!I16</f>
        <v>62</v>
      </c>
      <c r="I75" s="107">
        <f>'الغرفة 9 دلوى 4'!J16</f>
        <v>50</v>
      </c>
      <c r="J75" s="107">
        <f>'الغرفة 9 دلوى 4'!K16</f>
        <v>0</v>
      </c>
      <c r="K75" s="108"/>
      <c r="L75" s="84">
        <v>9</v>
      </c>
      <c r="M75" s="119">
        <f t="shared" si="0"/>
        <v>742.4</v>
      </c>
      <c r="N75" s="129">
        <f t="shared" si="16"/>
        <v>4</v>
      </c>
      <c r="O75" s="130">
        <f t="shared" si="17"/>
      </c>
      <c r="P75" s="122"/>
      <c r="Q75" s="79" t="s">
        <v>73</v>
      </c>
      <c r="R75" s="80" t="s">
        <v>565</v>
      </c>
      <c r="S75" s="80" t="s">
        <v>566</v>
      </c>
      <c r="T75" s="80" t="s">
        <v>567</v>
      </c>
      <c r="U75" s="80" t="s">
        <v>568</v>
      </c>
    </row>
    <row r="76" ht="15.75" customHeight="1" spans="1:21" x14ac:dyDescent="0.25">
      <c r="A76" s="164" t="s">
        <v>569</v>
      </c>
      <c r="B76" s="95">
        <f>'الغرفة 10 دلوى 4'!C16</f>
        <v>231</v>
      </c>
      <c r="C76" s="95">
        <f>'الغرفة 10 دلوى 4'!D16</f>
        <v>100</v>
      </c>
      <c r="D76" s="95">
        <f>'الغرفة 10 دلوى 4'!E16</f>
        <v>100</v>
      </c>
      <c r="E76" s="95">
        <f>'الغرفة 10 دلوى 4'!F16</f>
        <v>100</v>
      </c>
      <c r="F76" s="95">
        <f>'الغرفة 10 دلوى 4'!G16</f>
        <v>50</v>
      </c>
      <c r="G76" s="95">
        <f>'الغرفة 10 دلوى 4'!H16</f>
        <v>50</v>
      </c>
      <c r="H76" s="95">
        <f>'الغرفة 10 دلوى 4'!I16</f>
        <v>50</v>
      </c>
      <c r="I76" s="95">
        <f>'الغرفة 10 دلوى 4'!J16</f>
        <v>50</v>
      </c>
      <c r="J76" s="95">
        <f>'الغرفة 10 دلوى 4'!K16</f>
        <v>0</v>
      </c>
      <c r="K76" s="96"/>
      <c r="L76" s="84">
        <v>10</v>
      </c>
      <c r="M76" s="97">
        <f t="shared" si="0"/>
        <v>731</v>
      </c>
      <c r="N76" s="131">
        <f t="shared" ref="N76:N84" si="18">IF(M76=0,"",RANK(M76,$M$76:$M$84,0))</f>
        <v>4</v>
      </c>
      <c r="O76" s="132">
        <f t="shared" si="17"/>
      </c>
      <c r="P76" s="165" t="s">
        <v>570</v>
      </c>
      <c r="Q76" s="79" t="s">
        <v>571</v>
      </c>
      <c r="R76" s="80" t="s">
        <v>572</v>
      </c>
      <c r="S76" s="80" t="s">
        <v>573</v>
      </c>
      <c r="T76" s="80" t="s">
        <v>574</v>
      </c>
      <c r="U76" s="80" t="s">
        <v>575</v>
      </c>
    </row>
    <row r="77" ht="15.75" customHeight="1" spans="1:21" x14ac:dyDescent="0.25">
      <c r="A77" s="162" t="s">
        <v>576</v>
      </c>
      <c r="B77" s="102">
        <f>'الغرفة 11 دلوى 4'!C16</f>
        <v>227.4</v>
      </c>
      <c r="C77" s="102">
        <f>'الغرفة 11 دلوى 4'!D16</f>
        <v>100</v>
      </c>
      <c r="D77" s="102">
        <f>'الغرفة 11 دلوى 4'!E16</f>
        <v>100</v>
      </c>
      <c r="E77" s="102">
        <f>'الغرفة 11 دلوى 4'!F16</f>
        <v>100</v>
      </c>
      <c r="F77" s="102">
        <f>'الغرفة 11 دلوى 4'!G16</f>
        <v>50</v>
      </c>
      <c r="G77" s="102">
        <f>'الغرفة 11 دلوى 4'!H16</f>
        <v>50</v>
      </c>
      <c r="H77" s="102">
        <f>'الغرفة 11 دلوى 4'!I16</f>
        <v>50</v>
      </c>
      <c r="I77" s="102">
        <f>'الغرفة 11 دلوى 4'!J16</f>
        <v>50</v>
      </c>
      <c r="J77" s="102">
        <f>'الغرفة 11 دلوى 4'!K16</f>
        <v>0</v>
      </c>
      <c r="K77" s="103"/>
      <c r="L77" s="84">
        <v>11</v>
      </c>
      <c r="M77" s="75">
        <f t="shared" si="0"/>
        <v>727.4</v>
      </c>
      <c r="N77" s="128">
        <f t="shared" si="18"/>
        <v>7</v>
      </c>
      <c r="O77" s="77">
        <f t="shared" si="17"/>
      </c>
      <c r="P77" s="78"/>
      <c r="Q77" s="79" t="s">
        <v>577</v>
      </c>
      <c r="R77" s="80" t="s">
        <v>578</v>
      </c>
      <c r="S77" s="80" t="s">
        <v>579</v>
      </c>
      <c r="T77" s="80" t="s">
        <v>580</v>
      </c>
      <c r="U77" s="80" t="s">
        <v>581</v>
      </c>
    </row>
    <row r="78" ht="15.75" customHeight="1" spans="1:21" x14ac:dyDescent="0.25">
      <c r="A78" s="162" t="s">
        <v>582</v>
      </c>
      <c r="B78" s="102">
        <f>'الغرفة 12 دلوى 4'!C16</f>
        <v>234</v>
      </c>
      <c r="C78" s="102">
        <f>'الغرفة 12 دلوى 4'!D16</f>
        <v>100</v>
      </c>
      <c r="D78" s="102">
        <f>'الغرفة 12 دلوى 4'!E16</f>
        <v>100</v>
      </c>
      <c r="E78" s="102">
        <f>'الغرفة 12 دلوى 4'!F16</f>
        <v>100</v>
      </c>
      <c r="F78" s="102">
        <f>'الغرفة 12 دلوى 4'!G16</f>
        <v>50</v>
      </c>
      <c r="G78" s="102">
        <f>'الغرفة 12 دلوى 4'!H16</f>
        <v>50</v>
      </c>
      <c r="H78" s="102">
        <f>'الغرفة 12 دلوى 4'!I16</f>
        <v>50</v>
      </c>
      <c r="I78" s="102">
        <f>'الغرفة 12 دلوى 4'!J16</f>
        <v>50</v>
      </c>
      <c r="J78" s="102">
        <f>'الغرفة 12 دلوى 4'!K16</f>
        <v>0</v>
      </c>
      <c r="K78" s="103"/>
      <c r="L78" s="84">
        <v>12</v>
      </c>
      <c r="M78" s="75">
        <f t="shared" si="0"/>
        <v>734</v>
      </c>
      <c r="N78" s="128">
        <f t="shared" si="18"/>
        <v>2</v>
      </c>
      <c r="O78" s="77">
        <f t="shared" si="17"/>
      </c>
      <c r="P78" s="78"/>
      <c r="Q78" s="79" t="s">
        <v>583</v>
      </c>
      <c r="R78" s="80" t="s">
        <v>584</v>
      </c>
      <c r="S78" s="80" t="s">
        <v>585</v>
      </c>
      <c r="T78" s="80" t="s">
        <v>586</v>
      </c>
      <c r="U78" s="80" t="s">
        <v>587</v>
      </c>
    </row>
    <row r="79" ht="15.75" customHeight="1" spans="1:21" x14ac:dyDescent="0.25">
      <c r="A79" s="162" t="s">
        <v>588</v>
      </c>
      <c r="B79" s="102">
        <f>'الغرفة 13 دلوى 4'!C16</f>
        <v>240</v>
      </c>
      <c r="C79" s="102">
        <f>'الغرفة 13 دلوى 4'!D16</f>
        <v>100</v>
      </c>
      <c r="D79" s="102">
        <f>'الغرفة 13 دلوى 4'!E16</f>
        <v>100</v>
      </c>
      <c r="E79" s="102">
        <f>'الغرفة 13 دلوى 4'!F16</f>
        <v>100</v>
      </c>
      <c r="F79" s="102">
        <f>'الغرفة 13 دلوى 4'!G16</f>
        <v>50</v>
      </c>
      <c r="G79" s="102">
        <f>'الغرفة 13 دلوى 4'!H16</f>
        <v>50</v>
      </c>
      <c r="H79" s="102">
        <f>'الغرفة 13 دلوى 4'!I16</f>
        <v>50</v>
      </c>
      <c r="I79" s="102">
        <f>'الغرفة 13 دلوى 4'!J16</f>
        <v>50</v>
      </c>
      <c r="J79" s="102">
        <f>'الغرفة 13 دلوى 4'!K16</f>
        <v>0</v>
      </c>
      <c r="K79" s="103"/>
      <c r="L79" s="84">
        <v>13</v>
      </c>
      <c r="M79" s="75">
        <f t="shared" si="0"/>
        <v>740</v>
      </c>
      <c r="N79" s="128">
        <f t="shared" si="18"/>
        <v>1</v>
      </c>
      <c r="O79" s="77" t="str">
        <f t="shared" si="17"/>
        <v>أحسن الغرف</v>
      </c>
      <c r="P79" s="78"/>
      <c r="Q79" s="79" t="s">
        <v>126</v>
      </c>
      <c r="R79" s="80" t="s">
        <v>589</v>
      </c>
      <c r="S79" s="80" t="s">
        <v>590</v>
      </c>
      <c r="T79" s="80" t="s">
        <v>591</v>
      </c>
      <c r="U79" s="80" t="s">
        <v>592</v>
      </c>
    </row>
    <row r="80" ht="15.75" customHeight="1" spans="1:21" x14ac:dyDescent="0.25">
      <c r="A80" s="162" t="s">
        <v>593</v>
      </c>
      <c r="B80" s="102">
        <f>'الغرفة 14 دلوى 4'!C16</f>
        <v>228</v>
      </c>
      <c r="C80" s="102">
        <f>'الغرفة 14 دلوى 4'!D16</f>
        <v>100</v>
      </c>
      <c r="D80" s="102">
        <f>'الغرفة 14 دلوى 4'!E16</f>
        <v>100</v>
      </c>
      <c r="E80" s="102">
        <f>'الغرفة 14 دلوى 4'!F16</f>
        <v>100</v>
      </c>
      <c r="F80" s="102">
        <f>'الغرفة 14 دلوى 4'!G16</f>
        <v>50</v>
      </c>
      <c r="G80" s="102">
        <f>'الغرفة 14 دلوى 4'!H16</f>
        <v>50</v>
      </c>
      <c r="H80" s="102">
        <f>'الغرفة 14 دلوى 4'!I16</f>
        <v>50</v>
      </c>
      <c r="I80" s="102">
        <f>'الغرفة 14 دلوى 4'!J16</f>
        <v>50</v>
      </c>
      <c r="J80" s="102">
        <f>'الغرفة 14 دلوى 4'!K16</f>
        <v>0</v>
      </c>
      <c r="K80" s="103"/>
      <c r="L80" s="84">
        <v>14</v>
      </c>
      <c r="M80" s="75">
        <f t="shared" si="0"/>
        <v>728</v>
      </c>
      <c r="N80" s="128">
        <f t="shared" si="18"/>
        <v>6</v>
      </c>
      <c r="O80" s="77">
        <f t="shared" si="17"/>
      </c>
      <c r="P80" s="78"/>
      <c r="Q80" s="79" t="s">
        <v>594</v>
      </c>
      <c r="R80" s="80" t="s">
        <v>595</v>
      </c>
      <c r="S80" s="80" t="s">
        <v>596</v>
      </c>
      <c r="T80" s="80" t="s">
        <v>597</v>
      </c>
      <c r="U80" s="80" t="s">
        <v>598</v>
      </c>
    </row>
    <row r="81" ht="15.75" customHeight="1" spans="1:21" x14ac:dyDescent="0.25">
      <c r="A81" s="162" t="s">
        <v>599</v>
      </c>
      <c r="B81" s="102">
        <f>'الغرفة 15 دلوى 4'!C16</f>
        <v>231</v>
      </c>
      <c r="C81" s="102">
        <f>'الغرفة 15 دلوى 4'!D16</f>
        <v>100</v>
      </c>
      <c r="D81" s="102">
        <f>'الغرفة 15 دلوى 4'!E16</f>
        <v>100</v>
      </c>
      <c r="E81" s="102">
        <f>'الغرفة 15 دلوى 4'!F16</f>
        <v>100</v>
      </c>
      <c r="F81" s="102">
        <f>'الغرفة 15 دلوى 4'!G16</f>
        <v>50</v>
      </c>
      <c r="G81" s="102">
        <f>'الغرفة 15 دلوى 4'!H16</f>
        <v>50</v>
      </c>
      <c r="H81" s="102">
        <f>'الغرفة 15 دلوى 4'!I16</f>
        <v>50</v>
      </c>
      <c r="I81" s="102">
        <f>'الغرفة 15 دلوى 4'!J16</f>
        <v>50</v>
      </c>
      <c r="J81" s="102">
        <f>'الغرفة 15 دلوى 4'!K16</f>
        <v>0</v>
      </c>
      <c r="K81" s="103"/>
      <c r="L81" s="84">
        <v>15</v>
      </c>
      <c r="M81" s="75">
        <f t="shared" si="0"/>
        <v>731</v>
      </c>
      <c r="N81" s="128">
        <f t="shared" si="18"/>
        <v>4</v>
      </c>
      <c r="O81" s="77">
        <f t="shared" si="17"/>
      </c>
      <c r="P81" s="78"/>
      <c r="Q81" s="79" t="s">
        <v>600</v>
      </c>
      <c r="R81" s="80" t="s">
        <v>601</v>
      </c>
      <c r="S81" s="80" t="s">
        <v>602</v>
      </c>
      <c r="T81" s="80" t="s">
        <v>603</v>
      </c>
      <c r="U81" s="80" t="s">
        <v>604</v>
      </c>
    </row>
    <row r="82" ht="15.75" customHeight="1" spans="1:21" x14ac:dyDescent="0.25">
      <c r="A82" s="162" t="s">
        <v>605</v>
      </c>
      <c r="B82" s="102">
        <f>'الغرفة 16 دلوى 4'!C16</f>
        <v>227.4</v>
      </c>
      <c r="C82" s="102">
        <f>'الغرفة 16 دلوى 4'!D16</f>
        <v>100</v>
      </c>
      <c r="D82" s="102">
        <f>'الغرفة 16 دلوى 4'!E16</f>
        <v>100</v>
      </c>
      <c r="E82" s="102">
        <f>'الغرفة 16 دلوى 4'!F16</f>
        <v>100</v>
      </c>
      <c r="F82" s="102">
        <f>'الغرفة 16 دلوى 4'!G16</f>
        <v>50</v>
      </c>
      <c r="G82" s="102">
        <f>'الغرفة 16 دلوى 4'!H16</f>
        <v>50</v>
      </c>
      <c r="H82" s="102">
        <f>'الغرفة 16 دلوى 4'!I16</f>
        <v>50</v>
      </c>
      <c r="I82" s="102">
        <f>'الغرفة 16 دلوى 4'!J16</f>
        <v>50</v>
      </c>
      <c r="J82" s="102">
        <f>'الغرفة 16 دلوى 4'!K16</f>
        <v>0</v>
      </c>
      <c r="K82" s="103"/>
      <c r="L82" s="84">
        <v>16</v>
      </c>
      <c r="M82" s="75">
        <f t="shared" si="0"/>
        <v>727.4</v>
      </c>
      <c r="N82" s="128">
        <f t="shared" si="18"/>
        <v>7</v>
      </c>
      <c r="O82" s="77">
        <f t="shared" si="17"/>
      </c>
      <c r="P82" s="78"/>
      <c r="Q82" s="79" t="s">
        <v>606</v>
      </c>
      <c r="R82" s="80" t="s">
        <v>607</v>
      </c>
      <c r="S82" s="80" t="s">
        <v>608</v>
      </c>
      <c r="T82" s="80" t="s">
        <v>609</v>
      </c>
      <c r="U82" s="80" t="s">
        <v>610</v>
      </c>
    </row>
    <row r="83" ht="15.75" customHeight="1" spans="1:21" x14ac:dyDescent="0.25">
      <c r="A83" s="162" t="s">
        <v>611</v>
      </c>
      <c r="B83" s="102">
        <f>'الغرفة 17 دلوى 4'!C16</f>
        <v>237</v>
      </c>
      <c r="C83" s="102">
        <f>'الغرفة 17 دلوى 4'!D16</f>
        <v>100</v>
      </c>
      <c r="D83" s="102">
        <f>'الغرفة 17 دلوى 4'!E16</f>
        <v>98</v>
      </c>
      <c r="E83" s="102">
        <f>'الغرفة 17 دلوى 4'!F16</f>
        <v>98</v>
      </c>
      <c r="F83" s="102">
        <f>'الغرفة 17 دلوى 4'!G16</f>
        <v>50</v>
      </c>
      <c r="G83" s="102">
        <f>'الغرفة 17 دلوى 4'!H16</f>
        <v>50</v>
      </c>
      <c r="H83" s="102">
        <f>'الغرفة 17 دلوى 4'!I16</f>
        <v>50</v>
      </c>
      <c r="I83" s="102">
        <f>'الغرفة 17 دلوى 4'!J16</f>
        <v>50</v>
      </c>
      <c r="J83" s="102">
        <f>'الغرفة 17 دلوى 4'!K16</f>
        <v>0</v>
      </c>
      <c r="K83" s="103"/>
      <c r="L83" s="84">
        <v>17</v>
      </c>
      <c r="M83" s="75">
        <f t="shared" si="0"/>
        <v>733</v>
      </c>
      <c r="N83" s="128">
        <f t="shared" si="18"/>
        <v>3</v>
      </c>
      <c r="O83" s="77">
        <f t="shared" si="17"/>
      </c>
      <c r="P83" s="78"/>
      <c r="Q83" s="79" t="s">
        <v>612</v>
      </c>
      <c r="R83" s="80" t="s">
        <v>354</v>
      </c>
      <c r="S83" s="80" t="s">
        <v>613</v>
      </c>
      <c r="T83" s="80" t="s">
        <v>614</v>
      </c>
      <c r="U83" s="80" t="s">
        <v>615</v>
      </c>
    </row>
    <row r="84" ht="15.75" customHeight="1" spans="1:21" x14ac:dyDescent="0.25">
      <c r="A84" s="166" t="s">
        <v>616</v>
      </c>
      <c r="B84" s="117">
        <f>'الغرفة 18 دلوى 4'!C16</f>
        <v>228</v>
      </c>
      <c r="C84" s="117">
        <f>'الغرفة 18 دلوى 4'!D16</f>
        <v>100</v>
      </c>
      <c r="D84" s="117">
        <f>'الغرفة 18 دلوى 4'!E16</f>
        <v>100</v>
      </c>
      <c r="E84" s="117">
        <f>'الغرفة 18 دلوى 4'!F16</f>
        <v>100</v>
      </c>
      <c r="F84" s="117">
        <f>'الغرفة 18 دلوى 4'!G16</f>
        <v>42</v>
      </c>
      <c r="G84" s="117">
        <f>'الغرفة 18 دلوى 4'!H16</f>
        <v>50</v>
      </c>
      <c r="H84" s="117">
        <f>'الغرفة 18 دلوى 4'!I16</f>
        <v>50</v>
      </c>
      <c r="I84" s="117">
        <f>'الغرفة 18 دلوى 4'!J16</f>
        <v>50</v>
      </c>
      <c r="J84" s="117">
        <f>'الغرفة 18 دلوى 4'!K16</f>
        <v>0</v>
      </c>
      <c r="K84" s="118"/>
      <c r="L84" s="84">
        <v>18</v>
      </c>
      <c r="M84" s="91">
        <f t="shared" si="0"/>
        <v>720</v>
      </c>
      <c r="N84" s="134">
        <f t="shared" si="18"/>
        <v>9</v>
      </c>
      <c r="O84" s="93" t="str">
        <f t="shared" si="17"/>
        <v>أدنى الغرف</v>
      </c>
      <c r="P84" s="111"/>
      <c r="Q84" s="79" t="s">
        <v>617</v>
      </c>
      <c r="R84" s="80" t="s">
        <v>618</v>
      </c>
      <c r="S84" s="80" t="s">
        <v>619</v>
      </c>
      <c r="T84" s="80" t="s">
        <v>620</v>
      </c>
      <c r="U84" s="80" t="s">
        <v>621</v>
      </c>
    </row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P2:P10"/>
    <mergeCell ref="P11:P17"/>
    <mergeCell ref="P18:P23"/>
    <mergeCell ref="P24:P29"/>
    <mergeCell ref="P30:P36"/>
    <mergeCell ref="P37:P41"/>
    <mergeCell ref="P43:P50"/>
    <mergeCell ref="P51:P58"/>
    <mergeCell ref="P59:P63"/>
    <mergeCell ref="P64:P66"/>
    <mergeCell ref="P67:P75"/>
    <mergeCell ref="P76:P84"/>
  </mergeCells>
  <printOptions gridLines="1" horizontalCentered="1"/>
  <pageMargins left="0.7" right="0.7" top="0.75" bottom="0.75" header="0" footer="0"/>
  <pageSetup paperSize="8" orientation="landscape" horizontalDpi="4294967295" verticalDpi="4294967295" pageOrder="overThenDown" cellComments="atEnd" scale="100" fitToWidth="1" fitToHeight="0" firstPageNumber="1" useFirstPageNumber="1" copies="1"/>
  <tableParts count="1">
    <tablePart r:id="rId1"/>
  </tablePart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</v>
      </c>
      <c r="D4" s="193">
        <v>20</v>
      </c>
      <c r="E4" s="193">
        <v>100</v>
      </c>
      <c r="F4" s="194">
        <v>20</v>
      </c>
      <c r="G4" s="193">
        <v>75</v>
      </c>
      <c r="H4" s="193">
        <v>75</v>
      </c>
      <c r="I4" s="193">
        <v>75</v>
      </c>
      <c r="J4" s="194">
        <v>75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50</v>
      </c>
      <c r="D5" s="198">
        <v>80</v>
      </c>
      <c r="E5" s="198">
        <v>100</v>
      </c>
      <c r="F5" s="199">
        <v>50</v>
      </c>
      <c r="G5" s="198">
        <v>75</v>
      </c>
      <c r="H5" s="198">
        <v>75</v>
      </c>
      <c r="I5" s="198">
        <v>75</v>
      </c>
      <c r="J5" s="199">
        <v>75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50</v>
      </c>
      <c r="D6" s="198">
        <v>100</v>
      </c>
      <c r="E6" s="198">
        <v>100</v>
      </c>
      <c r="F6" s="199">
        <v>20</v>
      </c>
      <c r="G6" s="198">
        <v>75</v>
      </c>
      <c r="H6" s="198">
        <v>75</v>
      </c>
      <c r="I6" s="198">
        <v>75</v>
      </c>
      <c r="J6" s="199">
        <v>75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80</v>
      </c>
      <c r="D7" s="198">
        <v>100</v>
      </c>
      <c r="E7" s="198">
        <v>100</v>
      </c>
      <c r="F7" s="199">
        <v>100</v>
      </c>
      <c r="G7" s="198">
        <v>75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50</v>
      </c>
      <c r="D8" s="198">
        <v>100</v>
      </c>
      <c r="E8" s="198">
        <v>100</v>
      </c>
      <c r="F8" s="199">
        <v>80</v>
      </c>
      <c r="G8" s="198" t="s">
        <v>36</v>
      </c>
      <c r="H8" s="198" t="s">
        <v>36</v>
      </c>
      <c r="I8" s="198" t="s">
        <v>36</v>
      </c>
      <c r="J8" s="199" t="s">
        <v>36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80</v>
      </c>
      <c r="D9" s="198">
        <v>100</v>
      </c>
      <c r="E9" s="198">
        <v>100</v>
      </c>
      <c r="F9" s="199">
        <v>50</v>
      </c>
      <c r="G9" s="198" t="s">
        <v>36</v>
      </c>
      <c r="H9" s="198" t="s">
        <v>36</v>
      </c>
      <c r="I9" s="198" t="s">
        <v>36</v>
      </c>
      <c r="J9" s="199" t="s">
        <v>36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50</v>
      </c>
      <c r="D10" s="198">
        <v>60</v>
      </c>
      <c r="E10" s="198">
        <v>50</v>
      </c>
      <c r="F10" s="199">
        <v>50</v>
      </c>
      <c r="G10" s="198">
        <v>75</v>
      </c>
      <c r="H10" s="198">
        <v>75</v>
      </c>
      <c r="I10" s="198">
        <v>75</v>
      </c>
      <c r="J10" s="199">
        <v>75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50</v>
      </c>
      <c r="D11" s="198">
        <v>60</v>
      </c>
      <c r="E11" s="198">
        <v>50</v>
      </c>
      <c r="F11" s="199">
        <v>50</v>
      </c>
      <c r="G11" s="198">
        <v>75</v>
      </c>
      <c r="H11" s="198">
        <v>75</v>
      </c>
      <c r="I11" s="198">
        <v>75</v>
      </c>
      <c r="J11" s="199">
        <v>70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30</v>
      </c>
      <c r="D12" s="198">
        <v>30</v>
      </c>
      <c r="E12" s="198">
        <v>30</v>
      </c>
      <c r="F12" s="199">
        <v>50</v>
      </c>
      <c r="G12" s="198" t="s">
        <v>36</v>
      </c>
      <c r="H12" s="198" t="s">
        <v>36</v>
      </c>
      <c r="I12" s="198" t="s">
        <v>36</v>
      </c>
      <c r="J12" s="199" t="s">
        <v>36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46228</v>
      </c>
      <c r="C13" s="198">
        <v>30</v>
      </c>
      <c r="D13" s="198">
        <v>30</v>
      </c>
      <c r="E13" s="198">
        <v>30</v>
      </c>
      <c r="F13" s="199">
        <v>50</v>
      </c>
      <c r="G13" s="198">
        <v>75</v>
      </c>
      <c r="H13" s="198">
        <v>75</v>
      </c>
      <c r="I13" s="198">
        <v>75</v>
      </c>
      <c r="J13" s="199">
        <v>75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46230</v>
      </c>
      <c r="C14" s="198">
        <v>30</v>
      </c>
      <c r="D14" s="198">
        <v>30</v>
      </c>
      <c r="E14" s="198">
        <v>30</v>
      </c>
      <c r="F14" s="199">
        <v>50</v>
      </c>
      <c r="G14" s="198">
        <v>75</v>
      </c>
      <c r="H14" s="198">
        <v>75</v>
      </c>
      <c r="I14" s="198">
        <v>75</v>
      </c>
      <c r="J14" s="199">
        <v>75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534.8295455</v>
      </c>
      <c r="C16" s="229">
        <f t="shared" ref="C16:K16" si="0">IFERROR(AVERAGE(C4:C15),0)</f>
        <v>47.27272727</v>
      </c>
      <c r="D16" s="229">
        <f t="shared" si="0"/>
        <v>64.54545455</v>
      </c>
      <c r="E16" s="229">
        <f t="shared" si="0"/>
        <v>71.81818182</v>
      </c>
      <c r="F16" s="229">
        <f t="shared" si="0"/>
        <v>51.81818182</v>
      </c>
      <c r="G16" s="229">
        <f t="shared" si="0"/>
        <v>75</v>
      </c>
      <c r="H16" s="229">
        <f t="shared" si="0"/>
        <v>75</v>
      </c>
      <c r="I16" s="229">
        <f t="shared" si="0"/>
        <v>75</v>
      </c>
      <c r="J16" s="229">
        <f t="shared" si="0"/>
        <v>74.375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250"/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75</v>
      </c>
      <c r="E4" s="193">
        <v>80</v>
      </c>
      <c r="F4" s="194">
        <v>80</v>
      </c>
      <c r="G4" s="193">
        <v>65</v>
      </c>
      <c r="H4" s="193">
        <v>65</v>
      </c>
      <c r="I4" s="193">
        <v>60</v>
      </c>
      <c r="J4" s="194">
        <v>70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75</v>
      </c>
      <c r="E5" s="198">
        <v>80</v>
      </c>
      <c r="F5" s="199">
        <v>75</v>
      </c>
      <c r="G5" s="198">
        <v>65</v>
      </c>
      <c r="H5" s="198">
        <v>65</v>
      </c>
      <c r="I5" s="198">
        <v>60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200</v>
      </c>
      <c r="D6" s="198">
        <v>75</v>
      </c>
      <c r="E6" s="198">
        <v>80</v>
      </c>
      <c r="F6" s="199">
        <v>75</v>
      </c>
      <c r="G6" s="198">
        <v>65</v>
      </c>
      <c r="H6" s="198">
        <v>65</v>
      </c>
      <c r="I6" s="198">
        <v>60</v>
      </c>
      <c r="J6" s="199">
        <v>74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70</v>
      </c>
      <c r="E7" s="198">
        <v>80</v>
      </c>
      <c r="F7" s="199">
        <v>70</v>
      </c>
      <c r="G7" s="198">
        <v>70</v>
      </c>
      <c r="H7" s="198">
        <v>70</v>
      </c>
      <c r="I7" s="198">
        <v>75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150</v>
      </c>
      <c r="D8" s="198">
        <v>70</v>
      </c>
      <c r="E8" s="198">
        <v>75</v>
      </c>
      <c r="F8" s="199">
        <v>70</v>
      </c>
      <c r="G8" s="198">
        <v>70</v>
      </c>
      <c r="H8" s="198">
        <v>70</v>
      </c>
      <c r="I8" s="198">
        <v>70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200</v>
      </c>
      <c r="D9" s="198">
        <v>75</v>
      </c>
      <c r="E9" s="198">
        <v>75</v>
      </c>
      <c r="F9" s="199">
        <v>75</v>
      </c>
      <c r="G9" s="198">
        <v>65</v>
      </c>
      <c r="H9" s="198">
        <v>65</v>
      </c>
      <c r="I9" s="198">
        <v>65</v>
      </c>
      <c r="J9" s="199">
        <v>60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51" t="s">
        <v>878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685.6666667</v>
      </c>
      <c r="C16" s="229">
        <f t="shared" ref="C16:K16" si="0">IFERROR(AVERAGE(C4:C15),0)</f>
        <v>191.6666667</v>
      </c>
      <c r="D16" s="229">
        <f t="shared" si="0"/>
        <v>73.33333333</v>
      </c>
      <c r="E16" s="229">
        <f t="shared" si="0"/>
        <v>78.33333333</v>
      </c>
      <c r="F16" s="229">
        <f t="shared" si="0"/>
        <v>74.16666667</v>
      </c>
      <c r="G16" s="229">
        <f t="shared" si="0"/>
        <v>66.66666667</v>
      </c>
      <c r="H16" s="229">
        <f t="shared" si="0"/>
        <v>66.66666667</v>
      </c>
      <c r="I16" s="229">
        <f t="shared" si="0"/>
        <v>65</v>
      </c>
      <c r="J16" s="229">
        <f t="shared" si="0"/>
        <v>69.83333333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250</v>
      </c>
      <c r="D4" s="193">
        <v>80</v>
      </c>
      <c r="E4" s="193">
        <v>85</v>
      </c>
      <c r="F4" s="194">
        <v>85</v>
      </c>
      <c r="G4" s="193">
        <v>70</v>
      </c>
      <c r="H4" s="193">
        <v>70</v>
      </c>
      <c r="I4" s="193">
        <v>75</v>
      </c>
      <c r="J4" s="194">
        <v>70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70</v>
      </c>
      <c r="E5" s="198">
        <v>85</v>
      </c>
      <c r="F5" s="199">
        <v>85</v>
      </c>
      <c r="G5" s="198">
        <v>70</v>
      </c>
      <c r="H5" s="198">
        <v>70</v>
      </c>
      <c r="I5" s="198">
        <v>75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150</v>
      </c>
      <c r="D6" s="198">
        <v>80</v>
      </c>
      <c r="E6" s="198">
        <v>85</v>
      </c>
      <c r="F6" s="199">
        <v>85</v>
      </c>
      <c r="G6" s="198">
        <v>70</v>
      </c>
      <c r="H6" s="198">
        <v>70</v>
      </c>
      <c r="I6" s="198">
        <v>75</v>
      </c>
      <c r="J6" s="199">
        <v>70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80</v>
      </c>
      <c r="E7" s="198">
        <v>75</v>
      </c>
      <c r="F7" s="199">
        <v>75</v>
      </c>
      <c r="G7" s="198">
        <v>70</v>
      </c>
      <c r="H7" s="198">
        <v>70</v>
      </c>
      <c r="I7" s="198">
        <v>70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80</v>
      </c>
      <c r="E8" s="198">
        <v>80</v>
      </c>
      <c r="F8" s="199">
        <v>75</v>
      </c>
      <c r="G8" s="198">
        <v>70</v>
      </c>
      <c r="H8" s="198">
        <v>75</v>
      </c>
      <c r="I8" s="198">
        <v>70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150</v>
      </c>
      <c r="D9" s="198">
        <v>70</v>
      </c>
      <c r="E9" s="198">
        <v>70</v>
      </c>
      <c r="F9" s="199">
        <v>70</v>
      </c>
      <c r="G9" s="198">
        <v>65</v>
      </c>
      <c r="H9" s="198">
        <v>60</v>
      </c>
      <c r="I9" s="198">
        <v>70</v>
      </c>
      <c r="J9" s="199">
        <v>65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707.5</v>
      </c>
      <c r="C16" s="229">
        <f t="shared" ref="C16:K16" si="0">IFERROR(AVERAGE(C4:C15),0)</f>
        <v>191.6666667</v>
      </c>
      <c r="D16" s="229">
        <f t="shared" si="0"/>
        <v>76.66666667</v>
      </c>
      <c r="E16" s="229">
        <f t="shared" si="0"/>
        <v>80</v>
      </c>
      <c r="F16" s="229">
        <f t="shared" si="0"/>
        <v>79.16666667</v>
      </c>
      <c r="G16" s="229">
        <f t="shared" si="0"/>
        <v>69.16666667</v>
      </c>
      <c r="H16" s="229">
        <f t="shared" si="0"/>
        <v>69.16666667</v>
      </c>
      <c r="I16" s="229">
        <f t="shared" si="0"/>
        <v>72.5</v>
      </c>
      <c r="J16" s="229">
        <f t="shared" si="0"/>
        <v>69.16666667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70</v>
      </c>
      <c r="E4" s="193">
        <v>70</v>
      </c>
      <c r="F4" s="194">
        <v>70</v>
      </c>
      <c r="G4" s="193">
        <v>65</v>
      </c>
      <c r="H4" s="193">
        <v>70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150</v>
      </c>
      <c r="D5" s="198">
        <v>70</v>
      </c>
      <c r="E5" s="198">
        <v>75</v>
      </c>
      <c r="F5" s="199">
        <v>75</v>
      </c>
      <c r="G5" s="198">
        <v>60</v>
      </c>
      <c r="H5" s="198">
        <v>60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200</v>
      </c>
      <c r="D6" s="198">
        <v>75</v>
      </c>
      <c r="E6" s="198">
        <v>75</v>
      </c>
      <c r="F6" s="199">
        <v>70</v>
      </c>
      <c r="G6" s="198">
        <v>70</v>
      </c>
      <c r="H6" s="198">
        <v>70</v>
      </c>
      <c r="I6" s="198">
        <v>70</v>
      </c>
      <c r="J6" s="199">
        <v>65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150</v>
      </c>
      <c r="D7" s="198">
        <v>75</v>
      </c>
      <c r="E7" s="198">
        <v>75</v>
      </c>
      <c r="F7" s="199">
        <v>75</v>
      </c>
      <c r="G7" s="198">
        <v>70</v>
      </c>
      <c r="H7" s="198">
        <v>75</v>
      </c>
      <c r="I7" s="198">
        <v>75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70</v>
      </c>
      <c r="E8" s="198">
        <v>75</v>
      </c>
      <c r="F8" s="199">
        <v>70</v>
      </c>
      <c r="G8" s="198">
        <v>70</v>
      </c>
      <c r="H8" s="198">
        <v>70</v>
      </c>
      <c r="I8" s="198">
        <v>70</v>
      </c>
      <c r="J8" s="199">
        <v>75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150</v>
      </c>
      <c r="D9" s="198">
        <v>70</v>
      </c>
      <c r="E9" s="198">
        <v>70</v>
      </c>
      <c r="F9" s="199">
        <v>65</v>
      </c>
      <c r="G9" s="198">
        <v>65</v>
      </c>
      <c r="H9" s="198">
        <v>70</v>
      </c>
      <c r="I9" s="198">
        <v>70</v>
      </c>
      <c r="J9" s="199">
        <v>65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663.3333333</v>
      </c>
      <c r="C16" s="229">
        <f t="shared" ref="C16:K16" si="0">IFERROR(AVERAGE(C4:C15),0)</f>
        <v>175</v>
      </c>
      <c r="D16" s="229">
        <f t="shared" si="0"/>
        <v>71.66666667</v>
      </c>
      <c r="E16" s="229">
        <f t="shared" si="0"/>
        <v>73.33333333</v>
      </c>
      <c r="F16" s="229">
        <f t="shared" si="0"/>
        <v>70.83333333</v>
      </c>
      <c r="G16" s="229">
        <f t="shared" si="0"/>
        <v>66.66666667</v>
      </c>
      <c r="H16" s="229">
        <f t="shared" si="0"/>
        <v>69.16666667</v>
      </c>
      <c r="I16" s="229">
        <f t="shared" si="0"/>
        <v>69.16666667</v>
      </c>
      <c r="J16" s="229">
        <f t="shared" si="0"/>
        <v>67.5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75</v>
      </c>
      <c r="E4" s="193">
        <v>75</v>
      </c>
      <c r="F4" s="194">
        <v>70</v>
      </c>
      <c r="G4" s="193">
        <v>60</v>
      </c>
      <c r="H4" s="193">
        <v>70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75</v>
      </c>
      <c r="E5" s="198">
        <v>75</v>
      </c>
      <c r="F5" s="199">
        <v>70</v>
      </c>
      <c r="G5" s="198">
        <v>65</v>
      </c>
      <c r="H5" s="198">
        <v>70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250</v>
      </c>
      <c r="D6" s="198">
        <v>75</v>
      </c>
      <c r="E6" s="198">
        <v>75</v>
      </c>
      <c r="F6" s="199">
        <v>75</v>
      </c>
      <c r="G6" s="198">
        <v>60</v>
      </c>
      <c r="H6" s="198">
        <v>70</v>
      </c>
      <c r="I6" s="198">
        <v>65</v>
      </c>
      <c r="J6" s="199">
        <v>70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70</v>
      </c>
      <c r="E7" s="198">
        <v>70</v>
      </c>
      <c r="F7" s="199">
        <v>70</v>
      </c>
      <c r="G7" s="198">
        <v>70</v>
      </c>
      <c r="H7" s="198">
        <v>75</v>
      </c>
      <c r="I7" s="198">
        <v>70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75</v>
      </c>
      <c r="E8" s="198">
        <v>70</v>
      </c>
      <c r="F8" s="199">
        <v>70</v>
      </c>
      <c r="G8" s="198">
        <v>65</v>
      </c>
      <c r="H8" s="198">
        <v>70</v>
      </c>
      <c r="I8" s="198">
        <v>75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150</v>
      </c>
      <c r="D9" s="198">
        <v>75</v>
      </c>
      <c r="E9" s="198">
        <v>75</v>
      </c>
      <c r="F9" s="199">
        <v>75</v>
      </c>
      <c r="G9" s="198">
        <v>65</v>
      </c>
      <c r="H9" s="198">
        <v>70</v>
      </c>
      <c r="I9" s="198">
        <v>65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690</v>
      </c>
      <c r="C16" s="229">
        <f t="shared" ref="C16:K16" si="0">IFERROR(AVERAGE(C4:C15),0)</f>
        <v>200</v>
      </c>
      <c r="D16" s="229">
        <f t="shared" si="0"/>
        <v>74.16666667</v>
      </c>
      <c r="E16" s="229">
        <f t="shared" si="0"/>
        <v>73.33333333</v>
      </c>
      <c r="F16" s="229">
        <f t="shared" si="0"/>
        <v>71.66666667</v>
      </c>
      <c r="G16" s="229">
        <f t="shared" si="0"/>
        <v>64.16666667</v>
      </c>
      <c r="H16" s="229">
        <f t="shared" si="0"/>
        <v>70.83333333</v>
      </c>
      <c r="I16" s="229">
        <f t="shared" si="0"/>
        <v>67.5</v>
      </c>
      <c r="J16" s="229">
        <f t="shared" si="0"/>
        <v>68.33333333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52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75</v>
      </c>
      <c r="E4" s="193">
        <v>70</v>
      </c>
      <c r="F4" s="194">
        <v>75</v>
      </c>
      <c r="G4" s="193">
        <v>65</v>
      </c>
      <c r="H4" s="193">
        <v>70</v>
      </c>
      <c r="I4" s="193">
        <v>65</v>
      </c>
      <c r="J4" s="194">
        <v>70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75</v>
      </c>
      <c r="E5" s="198">
        <v>70</v>
      </c>
      <c r="F5" s="199">
        <v>75</v>
      </c>
      <c r="G5" s="198">
        <v>65</v>
      </c>
      <c r="H5" s="198">
        <v>70</v>
      </c>
      <c r="I5" s="198">
        <v>65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200</v>
      </c>
      <c r="D6" s="198">
        <v>75</v>
      </c>
      <c r="E6" s="198">
        <v>70</v>
      </c>
      <c r="F6" s="199">
        <v>75</v>
      </c>
      <c r="G6" s="198">
        <v>70</v>
      </c>
      <c r="H6" s="198">
        <v>65</v>
      </c>
      <c r="I6" s="198">
        <v>70</v>
      </c>
      <c r="J6" s="199">
        <v>70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70</v>
      </c>
      <c r="E7" s="198">
        <v>75</v>
      </c>
      <c r="F7" s="199">
        <v>70</v>
      </c>
      <c r="G7" s="198">
        <v>70</v>
      </c>
      <c r="H7" s="198">
        <v>75</v>
      </c>
      <c r="I7" s="198">
        <v>75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250</v>
      </c>
      <c r="D8" s="198">
        <v>70</v>
      </c>
      <c r="E8" s="198">
        <v>70</v>
      </c>
      <c r="F8" s="199">
        <v>70</v>
      </c>
      <c r="G8" s="198">
        <v>70</v>
      </c>
      <c r="H8" s="198">
        <v>70</v>
      </c>
      <c r="I8" s="198">
        <v>75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200</v>
      </c>
      <c r="D9" s="198">
        <v>75</v>
      </c>
      <c r="E9" s="198">
        <v>70</v>
      </c>
      <c r="F9" s="199">
        <v>65</v>
      </c>
      <c r="G9" s="198">
        <v>65</v>
      </c>
      <c r="H9" s="198">
        <v>60</v>
      </c>
      <c r="I9" s="198">
        <v>70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700.8333333</v>
      </c>
      <c r="C16" s="229">
        <f t="shared" ref="C16:K16" si="0">IFERROR(AVERAGE(C4:C15),0)</f>
        <v>208.3333333</v>
      </c>
      <c r="D16" s="229">
        <f t="shared" si="0"/>
        <v>73.33333333</v>
      </c>
      <c r="E16" s="229">
        <f t="shared" si="0"/>
        <v>70.83333333</v>
      </c>
      <c r="F16" s="229">
        <f t="shared" si="0"/>
        <v>71.66666667</v>
      </c>
      <c r="G16" s="229">
        <f t="shared" si="0"/>
        <v>67.5</v>
      </c>
      <c r="H16" s="229">
        <f t="shared" si="0"/>
        <v>68.33333333</v>
      </c>
      <c r="I16" s="229">
        <f t="shared" si="0"/>
        <v>70</v>
      </c>
      <c r="J16" s="229">
        <f t="shared" si="0"/>
        <v>70.83333333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253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254" t="s">
        <v>627</v>
      </c>
      <c r="B4" s="192">
        <v>46207</v>
      </c>
      <c r="C4" s="193">
        <v>250</v>
      </c>
      <c r="D4" s="193">
        <v>75</v>
      </c>
      <c r="E4" s="193">
        <v>80</v>
      </c>
      <c r="F4" s="194">
        <v>75</v>
      </c>
      <c r="G4" s="193">
        <v>70</v>
      </c>
      <c r="H4" s="193">
        <v>70</v>
      </c>
      <c r="I4" s="193">
        <v>70</v>
      </c>
      <c r="J4" s="194">
        <v>70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255"/>
      <c r="B5" s="197">
        <v>46209</v>
      </c>
      <c r="C5" s="198">
        <v>200</v>
      </c>
      <c r="D5" s="198">
        <v>75</v>
      </c>
      <c r="E5" s="198">
        <v>75</v>
      </c>
      <c r="F5" s="199">
        <v>75</v>
      </c>
      <c r="G5" s="198">
        <v>70</v>
      </c>
      <c r="H5" s="198">
        <v>65</v>
      </c>
      <c r="I5" s="198">
        <v>70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56"/>
      <c r="B6" s="197">
        <v>46211</v>
      </c>
      <c r="C6" s="198">
        <v>200</v>
      </c>
      <c r="D6" s="198">
        <v>70</v>
      </c>
      <c r="E6" s="198">
        <v>70</v>
      </c>
      <c r="F6" s="199">
        <v>80</v>
      </c>
      <c r="G6" s="198">
        <v>65</v>
      </c>
      <c r="H6" s="198">
        <v>70</v>
      </c>
      <c r="I6" s="198">
        <v>65</v>
      </c>
      <c r="J6" s="199">
        <v>70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57" t="s">
        <v>628</v>
      </c>
      <c r="B7" s="197">
        <v>46214</v>
      </c>
      <c r="C7" s="198">
        <v>200</v>
      </c>
      <c r="D7" s="198">
        <v>75</v>
      </c>
      <c r="E7" s="198">
        <v>75</v>
      </c>
      <c r="F7" s="199">
        <v>80</v>
      </c>
      <c r="G7" s="198">
        <v>75</v>
      </c>
      <c r="H7" s="198">
        <v>70</v>
      </c>
      <c r="I7" s="198">
        <v>65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255"/>
      <c r="B8" s="197">
        <v>46216</v>
      </c>
      <c r="C8" s="198">
        <v>200</v>
      </c>
      <c r="D8" s="198">
        <v>80</v>
      </c>
      <c r="E8" s="198">
        <v>80</v>
      </c>
      <c r="F8" s="199">
        <v>70</v>
      </c>
      <c r="G8" s="198">
        <v>70</v>
      </c>
      <c r="H8" s="198">
        <v>70</v>
      </c>
      <c r="I8" s="198">
        <v>70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56"/>
      <c r="B9" s="197">
        <v>46218</v>
      </c>
      <c r="C9" s="198">
        <v>250</v>
      </c>
      <c r="D9" s="198">
        <v>75</v>
      </c>
      <c r="E9" s="198">
        <v>70</v>
      </c>
      <c r="F9" s="199">
        <v>70</v>
      </c>
      <c r="G9" s="198">
        <v>70</v>
      </c>
      <c r="H9" s="198">
        <v>65</v>
      </c>
      <c r="I9" s="198">
        <v>70</v>
      </c>
      <c r="J9" s="199">
        <v>65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58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255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56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59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255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56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60">
        <f>SUM(C16:K16)</f>
        <v>717.5</v>
      </c>
      <c r="C16" s="229">
        <f t="shared" ref="C16:K16" si="0">IFERROR(AVERAGE(C4:C15),0)</f>
        <v>216.6666667</v>
      </c>
      <c r="D16" s="229">
        <f t="shared" si="0"/>
        <v>75</v>
      </c>
      <c r="E16" s="229">
        <f t="shared" si="0"/>
        <v>75</v>
      </c>
      <c r="F16" s="229">
        <f t="shared" si="0"/>
        <v>75</v>
      </c>
      <c r="G16" s="229">
        <f t="shared" si="0"/>
        <v>70</v>
      </c>
      <c r="H16" s="229">
        <f t="shared" si="0"/>
        <v>68.33333333</v>
      </c>
      <c r="I16" s="229">
        <f t="shared" si="0"/>
        <v>68.33333333</v>
      </c>
      <c r="J16" s="229">
        <f t="shared" si="0"/>
        <v>69.16666667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61"/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262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63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200</v>
      </c>
      <c r="D4" s="193">
        <v>75</v>
      </c>
      <c r="E4" s="193">
        <v>75</v>
      </c>
      <c r="F4" s="194">
        <v>75</v>
      </c>
      <c r="G4" s="193">
        <v>70</v>
      </c>
      <c r="H4" s="193">
        <v>65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200</v>
      </c>
      <c r="D5" s="198">
        <v>75</v>
      </c>
      <c r="E5" s="198">
        <v>75</v>
      </c>
      <c r="F5" s="199">
        <v>75</v>
      </c>
      <c r="G5" s="198">
        <v>70</v>
      </c>
      <c r="H5" s="198">
        <v>65</v>
      </c>
      <c r="I5" s="198">
        <v>70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150</v>
      </c>
      <c r="D6" s="198">
        <v>75</v>
      </c>
      <c r="E6" s="198">
        <v>70</v>
      </c>
      <c r="F6" s="199">
        <v>70</v>
      </c>
      <c r="G6" s="198">
        <v>65</v>
      </c>
      <c r="H6" s="198">
        <v>70</v>
      </c>
      <c r="I6" s="198">
        <v>65</v>
      </c>
      <c r="J6" s="199">
        <v>60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250</v>
      </c>
      <c r="D7" s="198">
        <v>70</v>
      </c>
      <c r="E7" s="198">
        <v>70</v>
      </c>
      <c r="F7" s="199">
        <v>75</v>
      </c>
      <c r="G7" s="198">
        <v>75</v>
      </c>
      <c r="H7" s="198">
        <v>70</v>
      </c>
      <c r="I7" s="198">
        <v>70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150</v>
      </c>
      <c r="D8" s="198">
        <v>75</v>
      </c>
      <c r="E8" s="198">
        <v>70</v>
      </c>
      <c r="F8" s="199">
        <v>75</v>
      </c>
      <c r="G8" s="198">
        <v>70</v>
      </c>
      <c r="H8" s="198">
        <v>70</v>
      </c>
      <c r="I8" s="198">
        <v>65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200</v>
      </c>
      <c r="D9" s="198">
        <v>75</v>
      </c>
      <c r="E9" s="198">
        <v>80</v>
      </c>
      <c r="F9" s="199">
        <v>80</v>
      </c>
      <c r="G9" s="198">
        <v>70</v>
      </c>
      <c r="H9" s="198">
        <v>65</v>
      </c>
      <c r="I9" s="198">
        <v>70</v>
      </c>
      <c r="J9" s="199">
        <v>60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684.1666667</v>
      </c>
      <c r="C16" s="229">
        <f t="shared" ref="C16:K16" si="0">IFERROR(AVERAGE(C4:C15),0)</f>
        <v>191.6666667</v>
      </c>
      <c r="D16" s="229">
        <f t="shared" si="0"/>
        <v>74.16666667</v>
      </c>
      <c r="E16" s="229">
        <f t="shared" si="0"/>
        <v>73.33333333</v>
      </c>
      <c r="F16" s="229">
        <f t="shared" si="0"/>
        <v>75</v>
      </c>
      <c r="G16" s="229">
        <f t="shared" si="0"/>
        <v>70</v>
      </c>
      <c r="H16" s="229">
        <f t="shared" si="0"/>
        <v>67.5</v>
      </c>
      <c r="I16" s="229">
        <f t="shared" si="0"/>
        <v>67.5</v>
      </c>
      <c r="J16" s="229">
        <f t="shared" si="0"/>
        <v>65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 t="s">
        <v>876</v>
      </c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spans="1:26" x14ac:dyDescent="0.25">
      <c r="A221" s="177"/>
      <c r="B221" s="177"/>
      <c r="C221" s="211"/>
      <c r="D221" s="211"/>
      <c r="E221" s="211"/>
      <c r="F221" s="211"/>
      <c r="G221" s="211"/>
      <c r="H221" s="211"/>
      <c r="I221" s="211"/>
      <c r="J221" s="211"/>
      <c r="K221" s="211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</row>
    <row r="222" ht="15.75" customHeight="1" spans="1:26" x14ac:dyDescent="0.25">
      <c r="A222" s="177"/>
      <c r="B222" s="177"/>
      <c r="C222" s="211"/>
      <c r="D222" s="211"/>
      <c r="E222" s="211"/>
      <c r="F222" s="211"/>
      <c r="G222" s="211"/>
      <c r="H222" s="211"/>
      <c r="I222" s="211"/>
      <c r="J222" s="211"/>
      <c r="K222" s="211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</row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160</v>
      </c>
      <c r="D4" s="193">
        <v>64</v>
      </c>
      <c r="E4" s="193">
        <v>67</v>
      </c>
      <c r="F4" s="194">
        <v>60</v>
      </c>
      <c r="G4" s="193">
        <v>70</v>
      </c>
      <c r="H4" s="193">
        <v>65</v>
      </c>
      <c r="I4" s="193">
        <v>60</v>
      </c>
      <c r="J4" s="194">
        <v>60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180</v>
      </c>
      <c r="D5" s="198">
        <v>66</v>
      </c>
      <c r="E5" s="198">
        <v>70</v>
      </c>
      <c r="F5" s="199">
        <v>65</v>
      </c>
      <c r="G5" s="198">
        <v>65</v>
      </c>
      <c r="H5" s="198">
        <v>67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175</v>
      </c>
      <c r="D6" s="198">
        <v>65</v>
      </c>
      <c r="E6" s="198">
        <v>78</v>
      </c>
      <c r="F6" s="199">
        <v>64</v>
      </c>
      <c r="G6" s="198">
        <v>69</v>
      </c>
      <c r="H6" s="198">
        <v>70</v>
      </c>
      <c r="I6" s="198">
        <v>60</v>
      </c>
      <c r="J6" s="199">
        <v>60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200</v>
      </c>
      <c r="D7" s="198">
        <v>70</v>
      </c>
      <c r="E7" s="198">
        <v>75</v>
      </c>
      <c r="F7" s="199">
        <v>70</v>
      </c>
      <c r="G7" s="198">
        <v>70</v>
      </c>
      <c r="H7" s="198">
        <v>70</v>
      </c>
      <c r="I7" s="198">
        <v>65</v>
      </c>
      <c r="J7" s="199">
        <v>75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200</v>
      </c>
      <c r="D8" s="198">
        <v>75</v>
      </c>
      <c r="E8" s="198">
        <v>70</v>
      </c>
      <c r="F8" s="199">
        <v>70</v>
      </c>
      <c r="G8" s="198">
        <v>70</v>
      </c>
      <c r="H8" s="198">
        <v>75</v>
      </c>
      <c r="I8" s="198">
        <v>65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150</v>
      </c>
      <c r="D9" s="198">
        <v>70</v>
      </c>
      <c r="E9" s="198">
        <v>70</v>
      </c>
      <c r="F9" s="199">
        <v>75</v>
      </c>
      <c r="G9" s="198">
        <v>70</v>
      </c>
      <c r="H9" s="198">
        <v>65</v>
      </c>
      <c r="I9" s="198">
        <v>70</v>
      </c>
      <c r="J9" s="199">
        <v>70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653.3333333</v>
      </c>
      <c r="C16" s="229">
        <f t="shared" ref="C16:K16" si="0">IFERROR(AVERAGE(C4:C15),0)</f>
        <v>177.5</v>
      </c>
      <c r="D16" s="229">
        <f t="shared" si="0"/>
        <v>68.33333333</v>
      </c>
      <c r="E16" s="229">
        <f t="shared" si="0"/>
        <v>71.66666667</v>
      </c>
      <c r="F16" s="229">
        <f t="shared" si="0"/>
        <v>67.33333333</v>
      </c>
      <c r="G16" s="229">
        <f t="shared" si="0"/>
        <v>69</v>
      </c>
      <c r="H16" s="229">
        <f t="shared" si="0"/>
        <v>68.66666667</v>
      </c>
      <c r="I16" s="229">
        <f t="shared" si="0"/>
        <v>64.16666667</v>
      </c>
      <c r="J16" s="229">
        <f t="shared" si="0"/>
        <v>66.66666667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180</v>
      </c>
      <c r="D4" s="193">
        <v>80</v>
      </c>
      <c r="E4" s="193">
        <v>75</v>
      </c>
      <c r="F4" s="194">
        <v>75</v>
      </c>
      <c r="G4" s="193">
        <v>65</v>
      </c>
      <c r="H4" s="193">
        <v>60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175</v>
      </c>
      <c r="D5" s="198">
        <v>75</v>
      </c>
      <c r="E5" s="198">
        <v>65</v>
      </c>
      <c r="F5" s="199">
        <v>65</v>
      </c>
      <c r="G5" s="198">
        <v>60</v>
      </c>
      <c r="H5" s="198">
        <v>60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165</v>
      </c>
      <c r="D6" s="198">
        <v>60</v>
      </c>
      <c r="E6" s="198">
        <v>70</v>
      </c>
      <c r="F6" s="199">
        <v>70</v>
      </c>
      <c r="G6" s="198">
        <v>60</v>
      </c>
      <c r="H6" s="198">
        <v>65</v>
      </c>
      <c r="I6" s="198">
        <v>60</v>
      </c>
      <c r="J6" s="199">
        <v>65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180</v>
      </c>
      <c r="D7" s="198">
        <v>60</v>
      </c>
      <c r="E7" s="198">
        <v>60</v>
      </c>
      <c r="F7" s="199">
        <v>60</v>
      </c>
      <c r="G7" s="198">
        <v>65</v>
      </c>
      <c r="H7" s="198">
        <v>60</v>
      </c>
      <c r="I7" s="198">
        <v>65</v>
      </c>
      <c r="J7" s="199">
        <v>65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180</v>
      </c>
      <c r="D8" s="198">
        <v>65</v>
      </c>
      <c r="E8" s="198">
        <v>75</v>
      </c>
      <c r="F8" s="199">
        <v>75</v>
      </c>
      <c r="G8" s="198">
        <v>65</v>
      </c>
      <c r="H8" s="198">
        <v>60</v>
      </c>
      <c r="I8" s="198">
        <v>65</v>
      </c>
      <c r="J8" s="199">
        <v>60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175</v>
      </c>
      <c r="D9" s="198">
        <v>60</v>
      </c>
      <c r="E9" s="198">
        <v>65</v>
      </c>
      <c r="F9" s="199">
        <v>65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165</v>
      </c>
      <c r="D10" s="198">
        <v>70</v>
      </c>
      <c r="E10" s="198">
        <v>65</v>
      </c>
      <c r="F10" s="199">
        <v>65</v>
      </c>
      <c r="G10" s="198">
        <v>75</v>
      </c>
      <c r="H10" s="198">
        <v>65</v>
      </c>
      <c r="I10" s="198">
        <v>60</v>
      </c>
      <c r="J10" s="199">
        <v>65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170</v>
      </c>
      <c r="D11" s="198">
        <v>75</v>
      </c>
      <c r="E11" s="198">
        <v>60</v>
      </c>
      <c r="F11" s="199">
        <v>60</v>
      </c>
      <c r="G11" s="198">
        <v>60</v>
      </c>
      <c r="H11" s="198">
        <v>60</v>
      </c>
      <c r="I11" s="198">
        <v>65</v>
      </c>
      <c r="J11" s="199">
        <v>60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165</v>
      </c>
      <c r="D12" s="198">
        <v>60</v>
      </c>
      <c r="E12" s="198">
        <v>65</v>
      </c>
      <c r="F12" s="199">
        <v>65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570</v>
      </c>
      <c r="C16" s="229">
        <f t="shared" ref="C16:K16" si="0">IFERROR(AVERAGE(C4:C15),0)</f>
        <v>172.7777778</v>
      </c>
      <c r="D16" s="229">
        <f t="shared" si="0"/>
        <v>67.22222222</v>
      </c>
      <c r="E16" s="229">
        <f t="shared" si="0"/>
        <v>66.66666667</v>
      </c>
      <c r="F16" s="229">
        <f t="shared" si="0"/>
        <v>66.66666667</v>
      </c>
      <c r="G16" s="229">
        <f t="shared" si="0"/>
        <v>50</v>
      </c>
      <c r="H16" s="229">
        <f t="shared" si="0"/>
        <v>47.77777778</v>
      </c>
      <c r="I16" s="229">
        <f t="shared" si="0"/>
        <v>49.44444444</v>
      </c>
      <c r="J16" s="229">
        <f t="shared" si="0"/>
        <v>49.44444444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31.38" customWidth="1"/>
    <col min="3" max="6" width="13.13" customWidth="1"/>
    <col min="7" max="7" width="14.25" customWidth="1"/>
    <col min="8" max="11" width="13.13" customWidth="1"/>
  </cols>
  <sheetData>
    <row r="1" ht="32.2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624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100</v>
      </c>
      <c r="F4" s="194">
        <v>100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0</v>
      </c>
      <c r="E5" s="198">
        <v>65</v>
      </c>
      <c r="F5" s="199">
        <v>65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75</v>
      </c>
      <c r="E6" s="198">
        <v>65</v>
      </c>
      <c r="F6" s="199">
        <v>65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75</v>
      </c>
      <c r="E7" s="198">
        <v>0</v>
      </c>
      <c r="F7" s="199">
        <v>30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75</v>
      </c>
      <c r="E8" s="198">
        <v>0</v>
      </c>
      <c r="F8" s="199">
        <v>30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170</v>
      </c>
      <c r="D9" s="198">
        <v>75</v>
      </c>
      <c r="E9" s="198">
        <v>0</v>
      </c>
      <c r="F9" s="199">
        <v>55</v>
      </c>
      <c r="G9" s="198">
        <v>75</v>
      </c>
      <c r="H9" s="198">
        <v>75</v>
      </c>
      <c r="I9" s="198">
        <v>55</v>
      </c>
      <c r="J9" s="199">
        <v>35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75</v>
      </c>
      <c r="F10" s="199">
        <v>65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300</v>
      </c>
      <c r="D11" s="198">
        <v>60</v>
      </c>
      <c r="E11" s="198">
        <v>85</v>
      </c>
      <c r="F11" s="199">
        <v>65</v>
      </c>
      <c r="G11" s="198">
        <v>75</v>
      </c>
      <c r="H11" s="198">
        <v>65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60</v>
      </c>
      <c r="E12" s="198">
        <v>90</v>
      </c>
      <c r="F12" s="199">
        <v>75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85</v>
      </c>
      <c r="E13" s="198">
        <v>90</v>
      </c>
      <c r="F13" s="199">
        <v>75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270</v>
      </c>
      <c r="D14" s="198">
        <v>60</v>
      </c>
      <c r="E14" s="198">
        <v>90</v>
      </c>
      <c r="F14" s="199">
        <v>75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60</v>
      </c>
      <c r="E15" s="206">
        <v>100</v>
      </c>
      <c r="F15" s="207">
        <v>85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702.5757576</v>
      </c>
      <c r="C16" s="210">
        <f t="shared" ref="C16:K16" si="0">IFERROR(AVERAGE(C4:C14),0)</f>
        <v>246.6666667</v>
      </c>
      <c r="D16" s="210">
        <f t="shared" si="0"/>
        <v>67.27272727</v>
      </c>
      <c r="E16" s="210">
        <f t="shared" si="0"/>
        <v>60</v>
      </c>
      <c r="F16" s="210">
        <f t="shared" si="0"/>
        <v>63.63636364</v>
      </c>
      <c r="G16" s="210">
        <f t="shared" si="0"/>
        <v>75</v>
      </c>
      <c r="H16" s="210">
        <f t="shared" si="0"/>
        <v>70</v>
      </c>
      <c r="I16" s="210">
        <f t="shared" si="0"/>
        <v>65</v>
      </c>
      <c r="J16" s="210">
        <f t="shared" si="0"/>
        <v>55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  <printOptions gridLines="1" horizontalCentered="1"/>
  <pageMargins left="0.7" right="0.7" top="0.75" bottom="0.75" header="0" footer="0"/>
  <pageSetup paperSize="9" orientation="landscape" horizontalDpi="4294967295" verticalDpi="4294967295" pageOrder="overThenDown" cellComments="atEnd" scale="100" fitToWidth="1" fitToHeight="0" firstPageNumber="1" useFirstPageNumber="1" copies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180</v>
      </c>
      <c r="D4" s="193">
        <v>65</v>
      </c>
      <c r="E4" s="193">
        <v>70</v>
      </c>
      <c r="F4" s="194">
        <v>70</v>
      </c>
      <c r="G4" s="193">
        <v>55</v>
      </c>
      <c r="H4" s="193">
        <v>50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160</v>
      </c>
      <c r="D5" s="198">
        <v>70</v>
      </c>
      <c r="E5" s="198">
        <v>65</v>
      </c>
      <c r="F5" s="199">
        <v>65</v>
      </c>
      <c r="G5" s="198">
        <v>50</v>
      </c>
      <c r="H5" s="198">
        <v>65</v>
      </c>
      <c r="I5" s="198">
        <v>55</v>
      </c>
      <c r="J5" s="199">
        <v>55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155</v>
      </c>
      <c r="D6" s="198">
        <v>65</v>
      </c>
      <c r="E6" s="198">
        <v>70</v>
      </c>
      <c r="F6" s="199">
        <v>70</v>
      </c>
      <c r="G6" s="198">
        <v>65</v>
      </c>
      <c r="H6" s="198">
        <v>55</v>
      </c>
      <c r="I6" s="198">
        <v>60</v>
      </c>
      <c r="J6" s="199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165</v>
      </c>
      <c r="D7" s="198">
        <v>75</v>
      </c>
      <c r="E7" s="198">
        <v>65</v>
      </c>
      <c r="F7" s="199">
        <v>65</v>
      </c>
      <c r="G7" s="198">
        <v>60</v>
      </c>
      <c r="H7" s="198">
        <v>65</v>
      </c>
      <c r="I7" s="198">
        <v>55</v>
      </c>
      <c r="J7" s="199">
        <v>65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155</v>
      </c>
      <c r="D8" s="198">
        <v>70</v>
      </c>
      <c r="E8" s="198">
        <v>60</v>
      </c>
      <c r="F8" s="199">
        <v>60</v>
      </c>
      <c r="G8" s="198">
        <v>65</v>
      </c>
      <c r="H8" s="198">
        <v>62</v>
      </c>
      <c r="I8" s="198">
        <v>65</v>
      </c>
      <c r="J8" s="199">
        <v>55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160</v>
      </c>
      <c r="D9" s="198">
        <v>60</v>
      </c>
      <c r="E9" s="198">
        <v>60</v>
      </c>
      <c r="F9" s="199">
        <v>60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170</v>
      </c>
      <c r="D10" s="198">
        <v>65</v>
      </c>
      <c r="E10" s="198">
        <v>65</v>
      </c>
      <c r="F10" s="199">
        <v>65</v>
      </c>
      <c r="G10" s="198">
        <v>65</v>
      </c>
      <c r="H10" s="198">
        <v>55</v>
      </c>
      <c r="I10" s="198">
        <v>50</v>
      </c>
      <c r="J10" s="199">
        <v>65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160</v>
      </c>
      <c r="D11" s="198">
        <v>60</v>
      </c>
      <c r="E11" s="198">
        <v>60</v>
      </c>
      <c r="F11" s="199">
        <v>60</v>
      </c>
      <c r="G11" s="198">
        <v>60</v>
      </c>
      <c r="H11" s="198">
        <v>65</v>
      </c>
      <c r="I11" s="198">
        <v>65</v>
      </c>
      <c r="J11" s="199">
        <v>55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165</v>
      </c>
      <c r="D12" s="198">
        <v>75</v>
      </c>
      <c r="E12" s="198">
        <v>65</v>
      </c>
      <c r="F12" s="199">
        <v>60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543.5555556</v>
      </c>
      <c r="C16" s="229">
        <f t="shared" ref="C16:K16" si="0">IFERROR(AVERAGE(C4:C15),0)</f>
        <v>163.3333333</v>
      </c>
      <c r="D16" s="229">
        <f t="shared" si="0"/>
        <v>67.22222222</v>
      </c>
      <c r="E16" s="229">
        <f t="shared" si="0"/>
        <v>64.44444444</v>
      </c>
      <c r="F16" s="229">
        <f t="shared" si="0"/>
        <v>63.88888889</v>
      </c>
      <c r="G16" s="229">
        <f t="shared" si="0"/>
        <v>46.66666667</v>
      </c>
      <c r="H16" s="229">
        <f t="shared" si="0"/>
        <v>46.33333333</v>
      </c>
      <c r="I16" s="229">
        <f t="shared" si="0"/>
        <v>46.11111111</v>
      </c>
      <c r="J16" s="229">
        <f t="shared" si="0"/>
        <v>45.55555556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160</v>
      </c>
      <c r="D4" s="193">
        <v>65</v>
      </c>
      <c r="E4" s="193">
        <v>50</v>
      </c>
      <c r="F4" s="193">
        <v>50</v>
      </c>
      <c r="G4" s="193">
        <v>65</v>
      </c>
      <c r="H4" s="193">
        <v>55</v>
      </c>
      <c r="I4" s="193">
        <v>50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165</v>
      </c>
      <c r="D5" s="198">
        <v>60</v>
      </c>
      <c r="E5" s="198">
        <v>65</v>
      </c>
      <c r="F5" s="198">
        <v>65</v>
      </c>
      <c r="G5" s="198">
        <v>55</v>
      </c>
      <c r="H5" s="198">
        <v>60</v>
      </c>
      <c r="I5" s="198">
        <v>65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155</v>
      </c>
      <c r="D6" s="198">
        <v>65</v>
      </c>
      <c r="E6" s="198">
        <v>60</v>
      </c>
      <c r="F6" s="198">
        <v>60</v>
      </c>
      <c r="G6" s="198">
        <v>65</v>
      </c>
      <c r="H6" s="198">
        <v>65</v>
      </c>
      <c r="I6" s="198">
        <v>50</v>
      </c>
      <c r="J6" s="199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165</v>
      </c>
      <c r="D7" s="198">
        <v>50</v>
      </c>
      <c r="E7" s="198">
        <v>65</v>
      </c>
      <c r="F7" s="198">
        <v>65</v>
      </c>
      <c r="G7" s="198">
        <v>50</v>
      </c>
      <c r="H7" s="198">
        <v>55</v>
      </c>
      <c r="I7" s="198">
        <v>65</v>
      </c>
      <c r="J7" s="199">
        <v>65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150</v>
      </c>
      <c r="D8" s="198">
        <v>55</v>
      </c>
      <c r="E8" s="198">
        <v>55</v>
      </c>
      <c r="F8" s="198">
        <v>55</v>
      </c>
      <c r="G8" s="198">
        <v>65</v>
      </c>
      <c r="H8" s="198">
        <v>50</v>
      </c>
      <c r="I8" s="198">
        <v>50</v>
      </c>
      <c r="J8" s="199">
        <v>55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165</v>
      </c>
      <c r="D9" s="198">
        <v>60</v>
      </c>
      <c r="E9" s="198">
        <v>50</v>
      </c>
      <c r="F9" s="198">
        <v>50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165</v>
      </c>
      <c r="D10" s="198">
        <v>65</v>
      </c>
      <c r="E10" s="198">
        <v>60</v>
      </c>
      <c r="F10" s="199">
        <v>55</v>
      </c>
      <c r="G10" s="198">
        <v>55</v>
      </c>
      <c r="H10" s="198">
        <v>55</v>
      </c>
      <c r="I10" s="198">
        <v>65</v>
      </c>
      <c r="J10" s="199">
        <v>65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170</v>
      </c>
      <c r="D11" s="198">
        <v>60</v>
      </c>
      <c r="E11" s="198">
        <v>60</v>
      </c>
      <c r="F11" s="199">
        <v>65</v>
      </c>
      <c r="G11" s="198">
        <v>65</v>
      </c>
      <c r="H11" s="198">
        <v>65</v>
      </c>
      <c r="I11" s="198">
        <v>60</v>
      </c>
      <c r="J11" s="199">
        <v>60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165</v>
      </c>
      <c r="D12" s="198">
        <v>65</v>
      </c>
      <c r="E12" s="198">
        <v>65</v>
      </c>
      <c r="F12" s="199">
        <v>50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522.7777778</v>
      </c>
      <c r="C16" s="229">
        <f t="shared" ref="C16:K16" si="0">IFERROR(AVERAGE(C4:C15),0)</f>
        <v>162.2222222</v>
      </c>
      <c r="D16" s="229">
        <f t="shared" si="0"/>
        <v>60.55555556</v>
      </c>
      <c r="E16" s="229">
        <f t="shared" si="0"/>
        <v>58.88888889</v>
      </c>
      <c r="F16" s="229">
        <f t="shared" si="0"/>
        <v>57.22222222</v>
      </c>
      <c r="G16" s="229">
        <f t="shared" si="0"/>
        <v>46.66666667</v>
      </c>
      <c r="H16" s="229">
        <f t="shared" si="0"/>
        <v>45</v>
      </c>
      <c r="I16" s="229">
        <f t="shared" si="0"/>
        <v>45</v>
      </c>
      <c r="J16" s="229">
        <f t="shared" si="0"/>
        <v>47.22222222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165</v>
      </c>
      <c r="D4" s="193">
        <v>65</v>
      </c>
      <c r="E4" s="193">
        <v>50</v>
      </c>
      <c r="F4" s="193">
        <v>50</v>
      </c>
      <c r="G4" s="193">
        <v>55</v>
      </c>
      <c r="H4" s="193">
        <v>45</v>
      </c>
      <c r="I4" s="193">
        <v>65</v>
      </c>
      <c r="J4" s="194">
        <v>55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155</v>
      </c>
      <c r="D5" s="198">
        <v>75</v>
      </c>
      <c r="E5" s="198">
        <v>65</v>
      </c>
      <c r="F5" s="198">
        <v>65</v>
      </c>
      <c r="G5" s="198">
        <v>50</v>
      </c>
      <c r="H5" s="198">
        <v>40</v>
      </c>
      <c r="I5" s="198">
        <v>55</v>
      </c>
      <c r="J5" s="199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160</v>
      </c>
      <c r="D6" s="198">
        <v>60</v>
      </c>
      <c r="E6" s="198">
        <v>60</v>
      </c>
      <c r="F6" s="198">
        <v>60</v>
      </c>
      <c r="G6" s="198">
        <v>50</v>
      </c>
      <c r="H6" s="198">
        <v>45</v>
      </c>
      <c r="I6" s="198">
        <v>60</v>
      </c>
      <c r="J6" s="199">
        <v>55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155</v>
      </c>
      <c r="D7" s="198">
        <v>70</v>
      </c>
      <c r="E7" s="198">
        <v>65</v>
      </c>
      <c r="F7" s="198">
        <v>65</v>
      </c>
      <c r="G7" s="198">
        <v>60</v>
      </c>
      <c r="H7" s="198">
        <v>50</v>
      </c>
      <c r="I7" s="198">
        <v>65</v>
      </c>
      <c r="J7" s="199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160</v>
      </c>
      <c r="D8" s="198">
        <v>65</v>
      </c>
      <c r="E8" s="198">
        <v>55</v>
      </c>
      <c r="F8" s="198">
        <v>55</v>
      </c>
      <c r="G8" s="198">
        <v>55</v>
      </c>
      <c r="H8" s="198">
        <v>55</v>
      </c>
      <c r="I8" s="198">
        <v>55</v>
      </c>
      <c r="J8" s="199">
        <v>45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165</v>
      </c>
      <c r="D9" s="198">
        <v>55</v>
      </c>
      <c r="E9" s="198">
        <v>50</v>
      </c>
      <c r="F9" s="198">
        <v>50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170</v>
      </c>
      <c r="D10" s="198">
        <v>55</v>
      </c>
      <c r="E10" s="198">
        <v>65</v>
      </c>
      <c r="F10" s="199">
        <v>65</v>
      </c>
      <c r="G10" s="198">
        <v>70</v>
      </c>
      <c r="H10" s="198">
        <v>60</v>
      </c>
      <c r="I10" s="198">
        <v>65</v>
      </c>
      <c r="J10" s="199">
        <v>60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175</v>
      </c>
      <c r="D11" s="198">
        <v>65</v>
      </c>
      <c r="E11" s="198">
        <v>60</v>
      </c>
      <c r="F11" s="199">
        <v>60</v>
      </c>
      <c r="G11" s="198">
        <v>65</v>
      </c>
      <c r="H11" s="198">
        <v>55</v>
      </c>
      <c r="I11" s="198">
        <v>60</v>
      </c>
      <c r="J11" s="199">
        <v>65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160</v>
      </c>
      <c r="D12" s="198">
        <v>60</v>
      </c>
      <c r="E12" s="198">
        <v>60</v>
      </c>
      <c r="F12" s="199">
        <v>60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517.2222222</v>
      </c>
      <c r="C16" s="229">
        <f t="shared" ref="C16:K16" si="0">IFERROR(AVERAGE(C4:C15),0)</f>
        <v>162.7777778</v>
      </c>
      <c r="D16" s="229">
        <f t="shared" si="0"/>
        <v>63.33333333</v>
      </c>
      <c r="E16" s="229">
        <f t="shared" si="0"/>
        <v>58.88888889</v>
      </c>
      <c r="F16" s="229">
        <f t="shared" si="0"/>
        <v>58.88888889</v>
      </c>
      <c r="G16" s="229">
        <f t="shared" si="0"/>
        <v>45</v>
      </c>
      <c r="H16" s="229">
        <f t="shared" si="0"/>
        <v>38.88888889</v>
      </c>
      <c r="I16" s="229">
        <f t="shared" si="0"/>
        <v>47.22222222</v>
      </c>
      <c r="J16" s="229">
        <f t="shared" si="0"/>
        <v>42.22222222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165</v>
      </c>
      <c r="D4" s="193">
        <v>65</v>
      </c>
      <c r="E4" s="193">
        <v>60</v>
      </c>
      <c r="F4" s="193">
        <v>60</v>
      </c>
      <c r="G4" s="193">
        <v>65</v>
      </c>
      <c r="H4" s="193">
        <v>65</v>
      </c>
      <c r="I4" s="193">
        <v>65</v>
      </c>
      <c r="J4" s="194">
        <v>50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155</v>
      </c>
      <c r="D5" s="198">
        <v>60</v>
      </c>
      <c r="E5" s="198">
        <v>65</v>
      </c>
      <c r="F5" s="198">
        <v>65</v>
      </c>
      <c r="G5" s="198">
        <v>55</v>
      </c>
      <c r="H5" s="198">
        <v>65</v>
      </c>
      <c r="I5" s="198">
        <v>60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165</v>
      </c>
      <c r="D6" s="198">
        <v>55</v>
      </c>
      <c r="E6" s="198">
        <v>60</v>
      </c>
      <c r="F6" s="198">
        <v>60</v>
      </c>
      <c r="G6" s="198">
        <v>50</v>
      </c>
      <c r="H6" s="198">
        <v>65</v>
      </c>
      <c r="I6" s="198">
        <v>65</v>
      </c>
      <c r="J6" s="199">
        <v>65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155</v>
      </c>
      <c r="D7" s="198">
        <v>60</v>
      </c>
      <c r="E7" s="198">
        <v>60</v>
      </c>
      <c r="F7" s="198">
        <v>60</v>
      </c>
      <c r="G7" s="198">
        <v>55</v>
      </c>
      <c r="H7" s="198">
        <v>60</v>
      </c>
      <c r="I7" s="198">
        <v>65</v>
      </c>
      <c r="J7" s="199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165</v>
      </c>
      <c r="D8" s="198">
        <v>65</v>
      </c>
      <c r="E8" s="198">
        <v>65</v>
      </c>
      <c r="F8" s="198">
        <v>65</v>
      </c>
      <c r="G8" s="198">
        <v>65</v>
      </c>
      <c r="H8" s="198">
        <v>60</v>
      </c>
      <c r="I8" s="198">
        <v>60</v>
      </c>
      <c r="J8" s="199">
        <v>55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160</v>
      </c>
      <c r="D9" s="198">
        <v>60</v>
      </c>
      <c r="E9" s="198">
        <v>60</v>
      </c>
      <c r="F9" s="198">
        <v>65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165</v>
      </c>
      <c r="D10" s="198">
        <v>65</v>
      </c>
      <c r="E10" s="198">
        <v>65</v>
      </c>
      <c r="F10" s="199">
        <v>65</v>
      </c>
      <c r="G10" s="198">
        <v>60</v>
      </c>
      <c r="H10" s="198">
        <v>65</v>
      </c>
      <c r="I10" s="198">
        <v>65</v>
      </c>
      <c r="J10" s="199">
        <v>60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170</v>
      </c>
      <c r="D11" s="198">
        <v>55</v>
      </c>
      <c r="E11" s="198">
        <v>60</v>
      </c>
      <c r="F11" s="199">
        <v>60</v>
      </c>
      <c r="G11" s="198">
        <v>65</v>
      </c>
      <c r="H11" s="198">
        <v>60</v>
      </c>
      <c r="I11" s="198">
        <v>60</v>
      </c>
      <c r="J11" s="199">
        <v>60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165</v>
      </c>
      <c r="D12" s="198">
        <v>60</v>
      </c>
      <c r="E12" s="198">
        <v>50</v>
      </c>
      <c r="F12" s="199">
        <v>50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533.8888889</v>
      </c>
      <c r="C16" s="229">
        <f t="shared" ref="C16:K16" si="0">IFERROR(AVERAGE(C4:C15),0)</f>
        <v>162.7777778</v>
      </c>
      <c r="D16" s="229">
        <f t="shared" si="0"/>
        <v>60.55555556</v>
      </c>
      <c r="E16" s="229">
        <f t="shared" si="0"/>
        <v>60.55555556</v>
      </c>
      <c r="F16" s="229">
        <f t="shared" si="0"/>
        <v>61.11111111</v>
      </c>
      <c r="G16" s="229">
        <f t="shared" si="0"/>
        <v>46.11111111</v>
      </c>
      <c r="H16" s="229">
        <f t="shared" si="0"/>
        <v>48.88888889</v>
      </c>
      <c r="I16" s="229">
        <f t="shared" si="0"/>
        <v>48.88888889</v>
      </c>
      <c r="J16" s="229">
        <f t="shared" si="0"/>
        <v>45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175</v>
      </c>
      <c r="D4" s="193">
        <v>65</v>
      </c>
      <c r="E4" s="193">
        <v>75</v>
      </c>
      <c r="F4" s="193">
        <v>75</v>
      </c>
      <c r="G4" s="193">
        <v>50</v>
      </c>
      <c r="H4" s="193">
        <v>65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165</v>
      </c>
      <c r="D5" s="198">
        <v>70</v>
      </c>
      <c r="E5" s="198">
        <v>65</v>
      </c>
      <c r="F5" s="198">
        <v>65</v>
      </c>
      <c r="G5" s="198">
        <v>65</v>
      </c>
      <c r="H5" s="198">
        <v>55</v>
      </c>
      <c r="I5" s="198">
        <v>60</v>
      </c>
      <c r="J5" s="199">
        <v>60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150</v>
      </c>
      <c r="D6" s="198">
        <v>75</v>
      </c>
      <c r="E6" s="198">
        <v>65</v>
      </c>
      <c r="F6" s="198">
        <v>65</v>
      </c>
      <c r="G6" s="198">
        <v>55</v>
      </c>
      <c r="H6" s="198">
        <v>50</v>
      </c>
      <c r="I6" s="198">
        <v>55</v>
      </c>
      <c r="J6" s="199">
        <v>65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155</v>
      </c>
      <c r="D7" s="198">
        <v>65</v>
      </c>
      <c r="E7" s="198">
        <v>60</v>
      </c>
      <c r="F7" s="198">
        <v>60</v>
      </c>
      <c r="G7" s="198">
        <v>65</v>
      </c>
      <c r="H7" s="198">
        <v>65</v>
      </c>
      <c r="I7" s="198">
        <v>65</v>
      </c>
      <c r="J7" s="199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160</v>
      </c>
      <c r="D8" s="198">
        <v>50</v>
      </c>
      <c r="E8" s="198">
        <v>65</v>
      </c>
      <c r="F8" s="198">
        <v>65</v>
      </c>
      <c r="G8" s="198">
        <v>50</v>
      </c>
      <c r="H8" s="198">
        <v>60</v>
      </c>
      <c r="I8" s="198">
        <v>50</v>
      </c>
      <c r="J8" s="199">
        <v>65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165</v>
      </c>
      <c r="D9" s="198">
        <v>65</v>
      </c>
      <c r="E9" s="198">
        <v>60</v>
      </c>
      <c r="F9" s="198">
        <v>60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165</v>
      </c>
      <c r="D10" s="198">
        <v>60</v>
      </c>
      <c r="E10" s="198">
        <v>60</v>
      </c>
      <c r="F10" s="199">
        <v>65</v>
      </c>
      <c r="G10" s="198">
        <v>60</v>
      </c>
      <c r="H10" s="198">
        <v>60</v>
      </c>
      <c r="I10" s="198">
        <v>60</v>
      </c>
      <c r="J10" s="199">
        <v>60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170</v>
      </c>
      <c r="D11" s="198">
        <v>65</v>
      </c>
      <c r="E11" s="198">
        <v>50</v>
      </c>
      <c r="F11" s="199">
        <v>50</v>
      </c>
      <c r="G11" s="198">
        <v>50</v>
      </c>
      <c r="H11" s="198">
        <v>60</v>
      </c>
      <c r="I11" s="198">
        <v>50</v>
      </c>
      <c r="J11" s="199">
        <v>65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188</v>
      </c>
      <c r="D12" s="198">
        <v>75</v>
      </c>
      <c r="E12" s="198">
        <v>55</v>
      </c>
      <c r="F12" s="199">
        <v>55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538.1111111</v>
      </c>
      <c r="C16" s="229">
        <f t="shared" ref="C16:K16" si="0">IFERROR(AVERAGE(C4:C15),0)</f>
        <v>165.8888889</v>
      </c>
      <c r="D16" s="229">
        <f t="shared" si="0"/>
        <v>65.55555556</v>
      </c>
      <c r="E16" s="229">
        <f t="shared" si="0"/>
        <v>61.66666667</v>
      </c>
      <c r="F16" s="229">
        <f t="shared" si="0"/>
        <v>62.22222222</v>
      </c>
      <c r="G16" s="229">
        <f t="shared" si="0"/>
        <v>43.88888889</v>
      </c>
      <c r="H16" s="229">
        <f t="shared" si="0"/>
        <v>46.11111111</v>
      </c>
      <c r="I16" s="229">
        <f t="shared" si="0"/>
        <v>45</v>
      </c>
      <c r="J16" s="229">
        <f t="shared" si="0"/>
        <v>47.77777778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180</v>
      </c>
      <c r="D4" s="193">
        <v>85</v>
      </c>
      <c r="E4" s="193">
        <v>75</v>
      </c>
      <c r="F4" s="193">
        <v>75</v>
      </c>
      <c r="G4" s="193">
        <v>70</v>
      </c>
      <c r="H4" s="193">
        <v>70</v>
      </c>
      <c r="I4" s="193">
        <v>70</v>
      </c>
      <c r="J4" s="194">
        <v>70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185</v>
      </c>
      <c r="D5" s="198">
        <v>75</v>
      </c>
      <c r="E5" s="198">
        <v>80</v>
      </c>
      <c r="F5" s="198">
        <v>80</v>
      </c>
      <c r="G5" s="198">
        <v>65</v>
      </c>
      <c r="H5" s="198">
        <v>65</v>
      </c>
      <c r="I5" s="198">
        <v>70</v>
      </c>
      <c r="J5" s="199">
        <v>65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175</v>
      </c>
      <c r="D6" s="198">
        <v>80</v>
      </c>
      <c r="E6" s="198">
        <v>75</v>
      </c>
      <c r="F6" s="198">
        <v>75</v>
      </c>
      <c r="G6" s="198">
        <v>65</v>
      </c>
      <c r="H6" s="198">
        <v>70</v>
      </c>
      <c r="I6" s="198">
        <v>65</v>
      </c>
      <c r="J6" s="199">
        <v>65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180</v>
      </c>
      <c r="D7" s="198">
        <v>70</v>
      </c>
      <c r="E7" s="198">
        <v>85</v>
      </c>
      <c r="F7" s="198">
        <v>85</v>
      </c>
      <c r="G7" s="198">
        <v>65</v>
      </c>
      <c r="H7" s="198">
        <v>70</v>
      </c>
      <c r="I7" s="198">
        <v>65</v>
      </c>
      <c r="J7" s="199">
        <v>70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170</v>
      </c>
      <c r="D8" s="198">
        <v>75</v>
      </c>
      <c r="E8" s="198">
        <v>70</v>
      </c>
      <c r="F8" s="198">
        <v>70</v>
      </c>
      <c r="G8" s="198">
        <v>60</v>
      </c>
      <c r="H8" s="198">
        <v>65</v>
      </c>
      <c r="I8" s="198">
        <v>70</v>
      </c>
      <c r="J8" s="199">
        <v>70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165</v>
      </c>
      <c r="D9" s="198">
        <v>75</v>
      </c>
      <c r="E9" s="198">
        <v>80</v>
      </c>
      <c r="F9" s="198">
        <v>80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180</v>
      </c>
      <c r="D10" s="198">
        <v>70</v>
      </c>
      <c r="E10" s="198">
        <v>75</v>
      </c>
      <c r="F10" s="199">
        <v>65</v>
      </c>
      <c r="G10" s="198">
        <v>70</v>
      </c>
      <c r="H10" s="198">
        <v>65</v>
      </c>
      <c r="I10" s="198">
        <v>70</v>
      </c>
      <c r="J10" s="199">
        <v>60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170</v>
      </c>
      <c r="D11" s="198">
        <v>80</v>
      </c>
      <c r="E11" s="198">
        <v>70</v>
      </c>
      <c r="F11" s="199">
        <v>60</v>
      </c>
      <c r="G11" s="198">
        <v>65</v>
      </c>
      <c r="H11" s="198">
        <v>65</v>
      </c>
      <c r="I11" s="198">
        <v>70</v>
      </c>
      <c r="J11" s="199">
        <v>65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175</v>
      </c>
      <c r="D12" s="198">
        <v>75</v>
      </c>
      <c r="E12" s="198">
        <v>65</v>
      </c>
      <c r="F12" s="199">
        <v>70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608.3333333</v>
      </c>
      <c r="C16" s="229">
        <f t="shared" ref="C16:K16" si="0">IFERROR(AVERAGE(C4:C15),0)</f>
        <v>175.5555556</v>
      </c>
      <c r="D16" s="229">
        <f t="shared" si="0"/>
        <v>76.11111111</v>
      </c>
      <c r="E16" s="229">
        <f t="shared" si="0"/>
        <v>75</v>
      </c>
      <c r="F16" s="229">
        <f t="shared" si="0"/>
        <v>73.33333333</v>
      </c>
      <c r="G16" s="229">
        <f t="shared" si="0"/>
        <v>51.11111111</v>
      </c>
      <c r="H16" s="229">
        <f t="shared" si="0"/>
        <v>52.22222222</v>
      </c>
      <c r="I16" s="229">
        <f t="shared" si="0"/>
        <v>53.33333333</v>
      </c>
      <c r="J16" s="229">
        <f t="shared" si="0"/>
        <v>51.66666667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46207</v>
      </c>
      <c r="C4" s="193">
        <v>175</v>
      </c>
      <c r="D4" s="193">
        <v>65</v>
      </c>
      <c r="E4" s="193">
        <v>65</v>
      </c>
      <c r="F4" s="193">
        <v>65</v>
      </c>
      <c r="G4" s="193">
        <v>70</v>
      </c>
      <c r="H4" s="193">
        <v>55</v>
      </c>
      <c r="I4" s="193">
        <v>65</v>
      </c>
      <c r="J4" s="194">
        <v>65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46209</v>
      </c>
      <c r="C5" s="198">
        <v>165</v>
      </c>
      <c r="D5" s="198">
        <v>60</v>
      </c>
      <c r="E5" s="198">
        <v>70</v>
      </c>
      <c r="F5" s="198">
        <v>70</v>
      </c>
      <c r="G5" s="198">
        <v>60</v>
      </c>
      <c r="H5" s="198">
        <v>65</v>
      </c>
      <c r="I5" s="198">
        <v>50</v>
      </c>
      <c r="J5" s="199">
        <v>60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46211</v>
      </c>
      <c r="C6" s="198">
        <v>170</v>
      </c>
      <c r="D6" s="198">
        <v>70</v>
      </c>
      <c r="E6" s="198">
        <v>75</v>
      </c>
      <c r="F6" s="198">
        <v>75</v>
      </c>
      <c r="G6" s="198">
        <v>65</v>
      </c>
      <c r="H6" s="198">
        <v>50</v>
      </c>
      <c r="I6" s="198">
        <v>60</v>
      </c>
      <c r="J6" s="199">
        <v>55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46214</v>
      </c>
      <c r="C7" s="198">
        <v>160</v>
      </c>
      <c r="D7" s="198">
        <v>65</v>
      </c>
      <c r="E7" s="198">
        <v>65</v>
      </c>
      <c r="F7" s="198">
        <v>65</v>
      </c>
      <c r="G7" s="198">
        <v>70</v>
      </c>
      <c r="H7" s="198">
        <v>55</v>
      </c>
      <c r="I7" s="198">
        <v>55</v>
      </c>
      <c r="J7" s="199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46216</v>
      </c>
      <c r="C8" s="198">
        <v>170</v>
      </c>
      <c r="D8" s="198">
        <v>65</v>
      </c>
      <c r="E8" s="198">
        <v>65</v>
      </c>
      <c r="F8" s="198">
        <v>65</v>
      </c>
      <c r="G8" s="198">
        <v>55</v>
      </c>
      <c r="H8" s="198">
        <v>65</v>
      </c>
      <c r="I8" s="198">
        <v>65</v>
      </c>
      <c r="J8" s="199">
        <v>55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46218</v>
      </c>
      <c r="C9" s="198">
        <v>160</v>
      </c>
      <c r="D9" s="198">
        <v>70</v>
      </c>
      <c r="E9" s="198">
        <v>65</v>
      </c>
      <c r="F9" s="198">
        <v>65</v>
      </c>
      <c r="G9" s="198">
        <v>0</v>
      </c>
      <c r="H9" s="198">
        <v>0</v>
      </c>
      <c r="I9" s="198">
        <v>0</v>
      </c>
      <c r="J9" s="199">
        <v>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46221</v>
      </c>
      <c r="C10" s="198">
        <v>160</v>
      </c>
      <c r="D10" s="198">
        <v>60</v>
      </c>
      <c r="E10" s="198">
        <v>75</v>
      </c>
      <c r="F10" s="199">
        <v>65</v>
      </c>
      <c r="G10" s="198">
        <v>65</v>
      </c>
      <c r="H10" s="198">
        <v>60</v>
      </c>
      <c r="I10" s="198">
        <v>50</v>
      </c>
      <c r="J10" s="199">
        <v>65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46223</v>
      </c>
      <c r="C11" s="198">
        <v>165</v>
      </c>
      <c r="D11" s="198">
        <v>60</v>
      </c>
      <c r="E11" s="198">
        <v>65</v>
      </c>
      <c r="F11" s="199">
        <v>60</v>
      </c>
      <c r="G11" s="198">
        <v>65</v>
      </c>
      <c r="H11" s="198">
        <v>55</v>
      </c>
      <c r="I11" s="198">
        <v>65</v>
      </c>
      <c r="J11" s="199">
        <v>65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46225</v>
      </c>
      <c r="C12" s="198">
        <v>170</v>
      </c>
      <c r="D12" s="198">
        <v>65</v>
      </c>
      <c r="E12" s="198">
        <v>70</v>
      </c>
      <c r="F12" s="199">
        <v>65</v>
      </c>
      <c r="G12" s="198">
        <v>0</v>
      </c>
      <c r="H12" s="198">
        <v>0</v>
      </c>
      <c r="I12" s="198">
        <v>0</v>
      </c>
      <c r="J12" s="199">
        <v>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551.6666667</v>
      </c>
      <c r="C16" s="229">
        <f t="shared" ref="C16:K16" si="0">IFERROR(AVERAGE(C4:C15),0)</f>
        <v>166.1111111</v>
      </c>
      <c r="D16" s="229">
        <f t="shared" si="0"/>
        <v>64.44444444</v>
      </c>
      <c r="E16" s="229">
        <f t="shared" si="0"/>
        <v>68.33333333</v>
      </c>
      <c r="F16" s="229">
        <f t="shared" si="0"/>
        <v>66.11111111</v>
      </c>
      <c r="G16" s="229">
        <f t="shared" si="0"/>
        <v>50</v>
      </c>
      <c r="H16" s="229">
        <f t="shared" si="0"/>
        <v>45</v>
      </c>
      <c r="I16" s="229">
        <f t="shared" si="0"/>
        <v>45.55555556</v>
      </c>
      <c r="J16" s="229">
        <f t="shared" si="0"/>
        <v>46.11111111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193">
        <v>244</v>
      </c>
      <c r="D4" s="193">
        <v>75</v>
      </c>
      <c r="E4" s="193">
        <v>80</v>
      </c>
      <c r="F4" s="194">
        <v>81</v>
      </c>
      <c r="G4" s="193">
        <v>63</v>
      </c>
      <c r="H4" s="193">
        <v>60</v>
      </c>
      <c r="I4" s="193">
        <v>65</v>
      </c>
      <c r="J4" s="194">
        <v>59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198">
        <v>214</v>
      </c>
      <c r="D5" s="198">
        <v>80</v>
      </c>
      <c r="E5" s="198">
        <v>87</v>
      </c>
      <c r="F5" s="199">
        <v>77</v>
      </c>
      <c r="G5" s="198">
        <v>63</v>
      </c>
      <c r="H5" s="198">
        <v>56</v>
      </c>
      <c r="I5" s="198">
        <v>60</v>
      </c>
      <c r="J5" s="199">
        <v>55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198">
        <v>226</v>
      </c>
      <c r="D6" s="198">
        <v>84</v>
      </c>
      <c r="E6" s="198">
        <v>77</v>
      </c>
      <c r="F6" s="199">
        <v>77</v>
      </c>
      <c r="G6" s="198">
        <v>56</v>
      </c>
      <c r="H6" s="198">
        <v>60</v>
      </c>
      <c r="I6" s="198">
        <v>65</v>
      </c>
      <c r="J6" s="199">
        <v>64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198">
        <v>224</v>
      </c>
      <c r="D7" s="198">
        <v>71</v>
      </c>
      <c r="E7" s="198">
        <v>80</v>
      </c>
      <c r="F7" s="199">
        <v>74</v>
      </c>
      <c r="G7" s="198">
        <v>54</v>
      </c>
      <c r="H7" s="198">
        <v>64</v>
      </c>
      <c r="I7" s="198">
        <v>64</v>
      </c>
      <c r="J7" s="199">
        <v>64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198">
        <v>248</v>
      </c>
      <c r="D8" s="198">
        <v>84</v>
      </c>
      <c r="E8" s="198">
        <v>84</v>
      </c>
      <c r="F8" s="199">
        <v>75</v>
      </c>
      <c r="G8" s="198">
        <v>57</v>
      </c>
      <c r="H8" s="198">
        <v>58</v>
      </c>
      <c r="I8" s="198">
        <v>53</v>
      </c>
      <c r="J8" s="199">
        <v>57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198">
        <v>245</v>
      </c>
      <c r="D9" s="198">
        <v>82</v>
      </c>
      <c r="E9" s="198">
        <v>81</v>
      </c>
      <c r="F9" s="199">
        <v>86</v>
      </c>
      <c r="G9" s="198">
        <v>56</v>
      </c>
      <c r="H9" s="198">
        <v>56</v>
      </c>
      <c r="I9" s="198">
        <v>62</v>
      </c>
      <c r="J9" s="199">
        <v>61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198">
        <v>256</v>
      </c>
      <c r="D10" s="198">
        <v>76</v>
      </c>
      <c r="E10" s="198">
        <v>85</v>
      </c>
      <c r="F10" s="199">
        <v>81</v>
      </c>
      <c r="G10" s="198">
        <v>56</v>
      </c>
      <c r="H10" s="198">
        <v>65</v>
      </c>
      <c r="I10" s="198">
        <v>61</v>
      </c>
      <c r="J10" s="199">
        <v>61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198">
        <v>217</v>
      </c>
      <c r="D11" s="198">
        <v>73</v>
      </c>
      <c r="E11" s="198">
        <v>80</v>
      </c>
      <c r="F11" s="199">
        <v>81</v>
      </c>
      <c r="G11" s="198">
        <v>65</v>
      </c>
      <c r="H11" s="198">
        <v>59</v>
      </c>
      <c r="I11" s="198">
        <v>60</v>
      </c>
      <c r="J11" s="199">
        <v>55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198">
        <v>233</v>
      </c>
      <c r="D12" s="198">
        <v>86</v>
      </c>
      <c r="E12" s="198">
        <v>82</v>
      </c>
      <c r="F12" s="199">
        <v>74</v>
      </c>
      <c r="G12" s="198">
        <v>64</v>
      </c>
      <c r="H12" s="198">
        <v>54</v>
      </c>
      <c r="I12" s="198">
        <v>56</v>
      </c>
      <c r="J12" s="199">
        <v>62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198">
        <v>214</v>
      </c>
      <c r="D13" s="198">
        <v>76</v>
      </c>
      <c r="E13" s="198">
        <v>72</v>
      </c>
      <c r="F13" s="199">
        <v>83</v>
      </c>
      <c r="G13" s="198">
        <v>57</v>
      </c>
      <c r="H13" s="198">
        <v>54</v>
      </c>
      <c r="I13" s="198">
        <v>61</v>
      </c>
      <c r="J13" s="199">
        <v>60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198">
        <v>223</v>
      </c>
      <c r="D14" s="198">
        <v>72</v>
      </c>
      <c r="E14" s="198">
        <v>75</v>
      </c>
      <c r="F14" s="199">
        <v>74</v>
      </c>
      <c r="G14" s="198">
        <v>61</v>
      </c>
      <c r="H14" s="198">
        <v>55</v>
      </c>
      <c r="I14" s="198">
        <v>55</v>
      </c>
      <c r="J14" s="199">
        <v>63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237</v>
      </c>
      <c r="D15" s="206">
        <v>73</v>
      </c>
      <c r="E15" s="206">
        <v>76</v>
      </c>
      <c r="F15" s="207">
        <v>77</v>
      </c>
      <c r="G15" s="206">
        <v>58</v>
      </c>
      <c r="H15" s="206">
        <v>61</v>
      </c>
      <c r="I15" s="206">
        <v>58</v>
      </c>
      <c r="J15" s="207">
        <v>60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705.4166667</v>
      </c>
      <c r="C16" s="229">
        <f t="shared" ref="C16:K16" si="0">IFERROR(AVERAGE(C4:C15),0)</f>
        <v>231.75</v>
      </c>
      <c r="D16" s="229">
        <f t="shared" si="0"/>
        <v>77.66666667</v>
      </c>
      <c r="E16" s="229">
        <f t="shared" si="0"/>
        <v>79.91666667</v>
      </c>
      <c r="F16" s="229">
        <f t="shared" si="0"/>
        <v>78.33333333</v>
      </c>
      <c r="G16" s="229">
        <f t="shared" si="0"/>
        <v>59.16666667</v>
      </c>
      <c r="H16" s="229">
        <f t="shared" si="0"/>
        <v>58.5</v>
      </c>
      <c r="I16" s="229">
        <f t="shared" si="0"/>
        <v>60</v>
      </c>
      <c r="J16" s="229">
        <f t="shared" si="0"/>
        <v>60.08333333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193">
        <v>215</v>
      </c>
      <c r="D4" s="193">
        <v>66</v>
      </c>
      <c r="E4" s="193">
        <v>67</v>
      </c>
      <c r="F4" s="194">
        <v>69</v>
      </c>
      <c r="G4" s="193">
        <v>53</v>
      </c>
      <c r="H4" s="193">
        <v>49</v>
      </c>
      <c r="I4" s="193">
        <v>54</v>
      </c>
      <c r="J4" s="194">
        <v>50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198">
        <v>205</v>
      </c>
      <c r="D5" s="198">
        <v>75</v>
      </c>
      <c r="E5" s="198">
        <v>72</v>
      </c>
      <c r="F5" s="199">
        <v>80</v>
      </c>
      <c r="G5" s="198">
        <v>61</v>
      </c>
      <c r="H5" s="198">
        <v>56</v>
      </c>
      <c r="I5" s="198">
        <v>56</v>
      </c>
      <c r="J5" s="199">
        <v>51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198">
        <v>221</v>
      </c>
      <c r="D6" s="198">
        <v>69</v>
      </c>
      <c r="E6" s="198">
        <v>72</v>
      </c>
      <c r="F6" s="199">
        <v>72</v>
      </c>
      <c r="G6" s="198">
        <v>52</v>
      </c>
      <c r="H6" s="198">
        <v>55</v>
      </c>
      <c r="I6" s="198">
        <v>55</v>
      </c>
      <c r="J6" s="199">
        <v>52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198">
        <v>230</v>
      </c>
      <c r="D7" s="198">
        <v>79</v>
      </c>
      <c r="E7" s="198">
        <v>72</v>
      </c>
      <c r="F7" s="199">
        <v>79</v>
      </c>
      <c r="G7" s="198">
        <v>58</v>
      </c>
      <c r="H7" s="198">
        <v>59</v>
      </c>
      <c r="I7" s="198">
        <v>60</v>
      </c>
      <c r="J7" s="199">
        <v>60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198">
        <v>205</v>
      </c>
      <c r="D8" s="198">
        <v>79</v>
      </c>
      <c r="E8" s="198">
        <v>77</v>
      </c>
      <c r="F8" s="199">
        <v>74</v>
      </c>
      <c r="G8" s="198">
        <v>54</v>
      </c>
      <c r="H8" s="198">
        <v>51</v>
      </c>
      <c r="I8" s="198">
        <v>51</v>
      </c>
      <c r="J8" s="199">
        <v>59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198">
        <v>210</v>
      </c>
      <c r="D9" s="198">
        <v>66</v>
      </c>
      <c r="E9" s="198">
        <v>76</v>
      </c>
      <c r="F9" s="199">
        <v>66</v>
      </c>
      <c r="G9" s="198">
        <v>54</v>
      </c>
      <c r="H9" s="198">
        <v>60</v>
      </c>
      <c r="I9" s="198">
        <v>57</v>
      </c>
      <c r="J9" s="199">
        <v>59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198">
        <v>243</v>
      </c>
      <c r="D10" s="198">
        <v>69</v>
      </c>
      <c r="E10" s="198">
        <v>81</v>
      </c>
      <c r="F10" s="199">
        <v>81</v>
      </c>
      <c r="G10" s="198">
        <v>60</v>
      </c>
      <c r="H10" s="198">
        <v>50</v>
      </c>
      <c r="I10" s="198">
        <v>52</v>
      </c>
      <c r="J10" s="199">
        <v>53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198">
        <v>226</v>
      </c>
      <c r="D11" s="198">
        <v>76</v>
      </c>
      <c r="E11" s="198">
        <v>67</v>
      </c>
      <c r="F11" s="199">
        <v>78</v>
      </c>
      <c r="G11" s="198">
        <v>61</v>
      </c>
      <c r="H11" s="198">
        <v>51</v>
      </c>
      <c r="I11" s="198">
        <v>53</v>
      </c>
      <c r="J11" s="199">
        <v>51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198">
        <v>216</v>
      </c>
      <c r="D12" s="198">
        <v>68</v>
      </c>
      <c r="E12" s="198">
        <v>71</v>
      </c>
      <c r="F12" s="199">
        <v>81</v>
      </c>
      <c r="G12" s="198">
        <v>55</v>
      </c>
      <c r="H12" s="198">
        <v>56</v>
      </c>
      <c r="I12" s="198">
        <v>57</v>
      </c>
      <c r="J12" s="199">
        <v>59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198">
        <v>220</v>
      </c>
      <c r="D13" s="198">
        <v>67</v>
      </c>
      <c r="E13" s="198">
        <v>70</v>
      </c>
      <c r="F13" s="199">
        <v>80</v>
      </c>
      <c r="G13" s="198">
        <v>57</v>
      </c>
      <c r="H13" s="198">
        <v>57</v>
      </c>
      <c r="I13" s="198">
        <v>52</v>
      </c>
      <c r="J13" s="199">
        <v>57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198">
        <v>201</v>
      </c>
      <c r="D14" s="198">
        <v>80</v>
      </c>
      <c r="E14" s="198">
        <v>79</v>
      </c>
      <c r="F14" s="199">
        <v>79</v>
      </c>
      <c r="G14" s="198">
        <v>51</v>
      </c>
      <c r="H14" s="198">
        <v>52</v>
      </c>
      <c r="I14" s="198">
        <v>53</v>
      </c>
      <c r="J14" s="199">
        <v>56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206</v>
      </c>
      <c r="D15" s="206">
        <v>74</v>
      </c>
      <c r="E15" s="206">
        <v>69</v>
      </c>
      <c r="F15" s="207">
        <v>68</v>
      </c>
      <c r="G15" s="206">
        <v>52</v>
      </c>
      <c r="H15" s="206">
        <v>50</v>
      </c>
      <c r="I15" s="206">
        <v>58</v>
      </c>
      <c r="J15" s="207">
        <v>61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657.1666667</v>
      </c>
      <c r="C16" s="229">
        <f t="shared" ref="C16:K16" si="0">IFERROR(AVERAGE(C4:C15),0)</f>
        <v>216.5</v>
      </c>
      <c r="D16" s="229">
        <f t="shared" si="0"/>
        <v>72.33333333</v>
      </c>
      <c r="E16" s="229">
        <f t="shared" si="0"/>
        <v>72.75</v>
      </c>
      <c r="F16" s="229">
        <f t="shared" si="0"/>
        <v>75.58333333</v>
      </c>
      <c r="G16" s="229">
        <f t="shared" si="0"/>
        <v>55.66666667</v>
      </c>
      <c r="H16" s="229">
        <f t="shared" si="0"/>
        <v>53.83333333</v>
      </c>
      <c r="I16" s="229">
        <f t="shared" si="0"/>
        <v>54.83333333</v>
      </c>
      <c r="J16" s="229">
        <f t="shared" si="0"/>
        <v>55.66666667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193">
        <v>251</v>
      </c>
      <c r="D4" s="193">
        <v>79</v>
      </c>
      <c r="E4" s="193">
        <v>91</v>
      </c>
      <c r="F4" s="194">
        <v>81</v>
      </c>
      <c r="G4" s="193">
        <v>69</v>
      </c>
      <c r="H4" s="193">
        <v>58</v>
      </c>
      <c r="I4" s="193">
        <v>63</v>
      </c>
      <c r="J4" s="194">
        <v>63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198">
        <v>244</v>
      </c>
      <c r="D5" s="198">
        <v>79</v>
      </c>
      <c r="E5" s="198">
        <v>93</v>
      </c>
      <c r="F5" s="199">
        <v>90</v>
      </c>
      <c r="G5" s="198">
        <v>59</v>
      </c>
      <c r="H5" s="198">
        <v>69</v>
      </c>
      <c r="I5" s="198">
        <v>61</v>
      </c>
      <c r="J5" s="199">
        <v>60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198">
        <v>231</v>
      </c>
      <c r="D6" s="198">
        <v>82</v>
      </c>
      <c r="E6" s="198">
        <v>90</v>
      </c>
      <c r="F6" s="199">
        <v>84</v>
      </c>
      <c r="G6" s="198">
        <v>69</v>
      </c>
      <c r="H6" s="198">
        <v>64</v>
      </c>
      <c r="I6" s="198">
        <v>59</v>
      </c>
      <c r="J6" s="199">
        <v>63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198">
        <v>268</v>
      </c>
      <c r="D7" s="198">
        <v>91</v>
      </c>
      <c r="E7" s="198">
        <v>91</v>
      </c>
      <c r="F7" s="199">
        <v>82</v>
      </c>
      <c r="G7" s="198">
        <v>60</v>
      </c>
      <c r="H7" s="198">
        <v>66</v>
      </c>
      <c r="I7" s="198">
        <v>63</v>
      </c>
      <c r="J7" s="199">
        <v>69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198">
        <v>262</v>
      </c>
      <c r="D8" s="198">
        <v>90</v>
      </c>
      <c r="E8" s="198">
        <v>77</v>
      </c>
      <c r="F8" s="199">
        <v>90</v>
      </c>
      <c r="G8" s="198">
        <v>69</v>
      </c>
      <c r="H8" s="198">
        <v>67</v>
      </c>
      <c r="I8" s="198">
        <v>69</v>
      </c>
      <c r="J8" s="199">
        <v>67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198">
        <v>244</v>
      </c>
      <c r="D9" s="198">
        <v>91</v>
      </c>
      <c r="E9" s="198">
        <v>89</v>
      </c>
      <c r="F9" s="199">
        <v>81</v>
      </c>
      <c r="G9" s="198">
        <v>61</v>
      </c>
      <c r="H9" s="198">
        <v>66</v>
      </c>
      <c r="I9" s="198">
        <v>66</v>
      </c>
      <c r="J9" s="199">
        <v>60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198">
        <v>267</v>
      </c>
      <c r="D10" s="198">
        <v>91</v>
      </c>
      <c r="E10" s="198">
        <v>82</v>
      </c>
      <c r="F10" s="199">
        <v>77</v>
      </c>
      <c r="G10" s="198">
        <v>59</v>
      </c>
      <c r="H10" s="198">
        <v>62</v>
      </c>
      <c r="I10" s="198">
        <v>69</v>
      </c>
      <c r="J10" s="199">
        <v>59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198">
        <v>257</v>
      </c>
      <c r="D11" s="198">
        <v>80</v>
      </c>
      <c r="E11" s="198">
        <v>92</v>
      </c>
      <c r="F11" s="199">
        <v>80</v>
      </c>
      <c r="G11" s="198">
        <v>63</v>
      </c>
      <c r="H11" s="198">
        <v>59</v>
      </c>
      <c r="I11" s="198">
        <v>65</v>
      </c>
      <c r="J11" s="199">
        <v>64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198">
        <v>252</v>
      </c>
      <c r="D12" s="198">
        <v>81</v>
      </c>
      <c r="E12" s="198">
        <v>90</v>
      </c>
      <c r="F12" s="199">
        <v>82</v>
      </c>
      <c r="G12" s="198">
        <v>66</v>
      </c>
      <c r="H12" s="198">
        <v>66</v>
      </c>
      <c r="I12" s="198">
        <v>61</v>
      </c>
      <c r="J12" s="199">
        <v>65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198">
        <v>231</v>
      </c>
      <c r="D13" s="198">
        <v>79</v>
      </c>
      <c r="E13" s="198">
        <v>91</v>
      </c>
      <c r="F13" s="199">
        <v>91</v>
      </c>
      <c r="G13" s="198">
        <v>62</v>
      </c>
      <c r="H13" s="198">
        <v>62</v>
      </c>
      <c r="I13" s="198">
        <v>64</v>
      </c>
      <c r="J13" s="199">
        <v>62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198">
        <v>235</v>
      </c>
      <c r="D14" s="198">
        <v>89</v>
      </c>
      <c r="E14" s="198">
        <v>90</v>
      </c>
      <c r="F14" s="199">
        <v>92</v>
      </c>
      <c r="G14" s="198">
        <v>65</v>
      </c>
      <c r="H14" s="198">
        <v>62</v>
      </c>
      <c r="I14" s="198">
        <v>58</v>
      </c>
      <c r="J14" s="199">
        <v>68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273</v>
      </c>
      <c r="D15" s="206">
        <v>91</v>
      </c>
      <c r="E15" s="206">
        <v>81</v>
      </c>
      <c r="F15" s="207">
        <v>81</v>
      </c>
      <c r="G15" s="206">
        <v>64</v>
      </c>
      <c r="H15" s="206">
        <v>68</v>
      </c>
      <c r="I15" s="206">
        <v>61</v>
      </c>
      <c r="J15" s="207">
        <v>67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763.9166667</v>
      </c>
      <c r="C16" s="229">
        <f t="shared" ref="C16:K16" si="0">IFERROR(AVERAGE(C4:C15),0)</f>
        <v>251.25</v>
      </c>
      <c r="D16" s="229">
        <f t="shared" si="0"/>
        <v>85.25</v>
      </c>
      <c r="E16" s="229">
        <f t="shared" si="0"/>
        <v>88.08333333</v>
      </c>
      <c r="F16" s="229">
        <f t="shared" si="0"/>
        <v>84.25</v>
      </c>
      <c r="G16" s="229">
        <f t="shared" si="0"/>
        <v>63.83333333</v>
      </c>
      <c r="H16" s="229">
        <f t="shared" si="0"/>
        <v>64.08333333</v>
      </c>
      <c r="I16" s="229">
        <f t="shared" si="0"/>
        <v>63.25</v>
      </c>
      <c r="J16" s="229">
        <f t="shared" si="0"/>
        <v>63.91666667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  <outlinePr summaryBelow="0" summaryRight="0"/>
  </sheetPr>
  <dimension ref="A1:O1000"/>
  <sheetViews>
    <sheetView workbookViewId="0" rightToLeft="1" zoomScale="100" zoomScaleNormal="100">
      <pane xSplit="1" ySplit="1" topLeftCell="B2" activePane="bottomRight" state="frozen"/>
      <selection pane="bottomRight" activeCell="B2" sqref="B2"/>
    </sheetView>
  </sheetViews>
  <sheetFormatPr defaultRowHeight="15" outlineLevelRow="0" outlineLevelCol="0" x14ac:dyDescent="0" defaultColWidth="12.63"/>
  <cols>
    <col min="1" max="1" width="10.63" customWidth="1"/>
    <col min="2" max="2" width="12.63" customWidth="1"/>
    <col min="3" max="3" width="22.88" customWidth="1"/>
    <col min="4" max="4" width="31.5" customWidth="1"/>
    <col min="5" max="5" width="27" customWidth="1"/>
    <col min="6" max="6" width="25.25" customWidth="1"/>
    <col min="7" max="7" width="22" customWidth="1"/>
  </cols>
  <sheetData>
    <row r="1" ht="15.75" customHeight="1" spans="1:15" x14ac:dyDescent="0.25">
      <c r="A1" s="212" t="s">
        <v>7</v>
      </c>
      <c r="B1" s="213" t="s">
        <v>6</v>
      </c>
      <c r="C1" s="213" t="s">
        <v>9</v>
      </c>
      <c r="D1" s="213" t="s">
        <v>146</v>
      </c>
      <c r="E1" s="213" t="s">
        <v>147</v>
      </c>
      <c r="F1" s="213" t="s">
        <v>11</v>
      </c>
      <c r="G1" s="213" t="s">
        <v>12</v>
      </c>
      <c r="H1" s="214"/>
      <c r="I1" s="214"/>
      <c r="J1" s="214"/>
      <c r="K1" s="214"/>
      <c r="L1" s="214"/>
      <c r="M1" s="214"/>
      <c r="N1" s="214"/>
      <c r="O1" s="214"/>
    </row>
    <row r="2" ht="15.75" customHeight="1" spans="1:15" x14ac:dyDescent="0.25">
      <c r="A2" s="215" t="s">
        <v>148</v>
      </c>
      <c r="B2" s="216" t="s">
        <v>13</v>
      </c>
      <c r="C2" s="15" t="s">
        <v>150</v>
      </c>
      <c r="D2" s="15" t="s">
        <v>631</v>
      </c>
      <c r="E2" s="15" t="s">
        <v>632</v>
      </c>
      <c r="F2" s="15" t="s">
        <v>633</v>
      </c>
      <c r="G2" s="15" t="s">
        <v>634</v>
      </c>
      <c r="H2" s="214"/>
      <c r="I2" s="214"/>
      <c r="J2" s="214"/>
      <c r="K2" s="214"/>
      <c r="L2" s="214"/>
      <c r="M2" s="214"/>
      <c r="N2" s="214"/>
      <c r="O2" s="214"/>
    </row>
    <row r="3" ht="15.75" customHeight="1" spans="1:15" x14ac:dyDescent="0.25">
      <c r="A3" s="71" t="s">
        <v>155</v>
      </c>
      <c r="B3" s="217"/>
      <c r="C3" s="15" t="s">
        <v>156</v>
      </c>
      <c r="D3" s="15" t="s">
        <v>635</v>
      </c>
      <c r="E3" s="15" t="s">
        <v>636</v>
      </c>
      <c r="F3" s="15" t="s">
        <v>637</v>
      </c>
      <c r="G3" s="15" t="s">
        <v>638</v>
      </c>
      <c r="H3" s="214"/>
      <c r="I3" s="214"/>
      <c r="J3" s="214"/>
      <c r="K3" s="214"/>
      <c r="L3" s="214"/>
      <c r="M3" s="214"/>
      <c r="N3" s="214"/>
      <c r="O3" s="214"/>
    </row>
    <row r="4" ht="15.75" customHeight="1" spans="1:15" x14ac:dyDescent="0.25">
      <c r="A4" s="71" t="s">
        <v>161</v>
      </c>
      <c r="B4" s="217"/>
      <c r="C4" s="15" t="s">
        <v>162</v>
      </c>
      <c r="D4" s="15" t="s">
        <v>639</v>
      </c>
      <c r="E4" s="15" t="s">
        <v>640</v>
      </c>
      <c r="F4" s="15" t="s">
        <v>641</v>
      </c>
      <c r="G4" s="15" t="s">
        <v>642</v>
      </c>
      <c r="H4" s="214"/>
      <c r="I4" s="214"/>
      <c r="J4" s="214"/>
      <c r="K4" s="214"/>
      <c r="L4" s="214"/>
      <c r="M4" s="214"/>
      <c r="N4" s="214"/>
      <c r="O4" s="214"/>
    </row>
    <row r="5" ht="15.75" customHeight="1" spans="1:15" x14ac:dyDescent="0.25">
      <c r="A5" s="71" t="s">
        <v>167</v>
      </c>
      <c r="B5" s="217"/>
      <c r="C5" s="218" t="s">
        <v>85</v>
      </c>
      <c r="D5" s="218" t="s">
        <v>86</v>
      </c>
      <c r="E5" s="218" t="s">
        <v>89</v>
      </c>
      <c r="F5" s="218" t="s">
        <v>87</v>
      </c>
      <c r="G5" s="218" t="s">
        <v>88</v>
      </c>
      <c r="H5" s="214"/>
      <c r="I5" s="214"/>
      <c r="J5" s="214"/>
      <c r="K5" s="214"/>
      <c r="L5" s="214"/>
      <c r="M5" s="214"/>
      <c r="N5" s="214"/>
      <c r="O5" s="214"/>
    </row>
    <row r="6" ht="15.75" customHeight="1" spans="1:15" x14ac:dyDescent="0.25">
      <c r="A6" s="71" t="s">
        <v>173</v>
      </c>
      <c r="B6" s="217"/>
      <c r="C6" s="218" t="s">
        <v>174</v>
      </c>
      <c r="D6" s="218" t="s">
        <v>643</v>
      </c>
      <c r="E6" s="218" t="s">
        <v>644</v>
      </c>
      <c r="F6" s="218" t="s">
        <v>645</v>
      </c>
      <c r="G6" s="218" t="s">
        <v>646</v>
      </c>
      <c r="H6" s="214"/>
      <c r="I6" s="214"/>
      <c r="J6" s="214"/>
      <c r="K6" s="214"/>
      <c r="L6" s="214"/>
      <c r="M6" s="214"/>
      <c r="N6" s="214"/>
      <c r="O6" s="214"/>
    </row>
    <row r="7" ht="15.75" customHeight="1" spans="1:15" x14ac:dyDescent="0.25">
      <c r="A7" s="71" t="s">
        <v>179</v>
      </c>
      <c r="B7" s="217"/>
      <c r="C7" s="218" t="s">
        <v>180</v>
      </c>
      <c r="D7" s="218" t="s">
        <v>647</v>
      </c>
      <c r="E7" s="218" t="s">
        <v>648</v>
      </c>
      <c r="F7" s="218" t="s">
        <v>649</v>
      </c>
      <c r="G7" s="218" t="s">
        <v>650</v>
      </c>
      <c r="H7" s="214"/>
      <c r="I7" s="214"/>
      <c r="J7" s="214"/>
      <c r="K7" s="214"/>
      <c r="L7" s="214"/>
      <c r="M7" s="214"/>
      <c r="N7" s="214"/>
      <c r="O7" s="214"/>
    </row>
    <row r="8" ht="15.75" customHeight="1" spans="1:15" x14ac:dyDescent="0.25">
      <c r="A8" s="71" t="s">
        <v>185</v>
      </c>
      <c r="B8" s="217"/>
      <c r="C8" s="218" t="s">
        <v>210</v>
      </c>
      <c r="D8" s="218" t="s">
        <v>15</v>
      </c>
      <c r="E8" s="218" t="s">
        <v>18</v>
      </c>
      <c r="F8" s="218" t="s">
        <v>16</v>
      </c>
      <c r="G8" s="218" t="s">
        <v>17</v>
      </c>
      <c r="H8" s="214"/>
      <c r="I8" s="214"/>
      <c r="J8" s="214"/>
      <c r="K8" s="214"/>
      <c r="L8" s="214"/>
      <c r="M8" s="214"/>
      <c r="N8" s="214"/>
      <c r="O8" s="214"/>
    </row>
    <row r="9" ht="15.75" customHeight="1" spans="1:15" x14ac:dyDescent="0.25">
      <c r="A9" s="71" t="s">
        <v>191</v>
      </c>
      <c r="B9" s="217"/>
      <c r="C9" s="218" t="s">
        <v>192</v>
      </c>
      <c r="D9" s="218" t="s">
        <v>651</v>
      </c>
      <c r="E9" s="219" t="s">
        <v>36</v>
      </c>
      <c r="F9" s="218" t="s">
        <v>652</v>
      </c>
      <c r="G9" s="218" t="s">
        <v>653</v>
      </c>
      <c r="H9" s="214"/>
      <c r="I9" s="214"/>
      <c r="J9" s="214"/>
      <c r="K9" s="214"/>
      <c r="L9" s="214"/>
      <c r="M9" s="214"/>
      <c r="N9" s="214"/>
      <c r="O9" s="214"/>
    </row>
    <row r="10" ht="15.75" customHeight="1" spans="1:15" x14ac:dyDescent="0.25">
      <c r="A10" s="88" t="s">
        <v>196</v>
      </c>
      <c r="B10" s="220"/>
      <c r="C10" s="218" t="s">
        <v>654</v>
      </c>
      <c r="D10" s="218" t="s">
        <v>655</v>
      </c>
      <c r="E10" s="218" t="s">
        <v>656</v>
      </c>
      <c r="F10" s="218" t="s">
        <v>657</v>
      </c>
      <c r="G10" s="218" t="s">
        <v>658</v>
      </c>
      <c r="H10" s="214"/>
      <c r="I10" s="214"/>
      <c r="J10" s="214"/>
      <c r="K10" s="214"/>
      <c r="L10" s="214"/>
      <c r="M10" s="214"/>
      <c r="N10" s="214"/>
      <c r="O10" s="214"/>
    </row>
    <row r="11" ht="15.75" customHeight="1" spans="1:15" x14ac:dyDescent="0.25">
      <c r="A11" s="94" t="s">
        <v>202</v>
      </c>
      <c r="B11" s="216" t="s">
        <v>19</v>
      </c>
      <c r="C11" s="221" t="s">
        <v>204</v>
      </c>
      <c r="D11" s="221" t="s">
        <v>659</v>
      </c>
      <c r="E11" s="221" t="s">
        <v>660</v>
      </c>
      <c r="F11" s="221" t="s">
        <v>661</v>
      </c>
      <c r="G11" s="221" t="s">
        <v>662</v>
      </c>
      <c r="H11" s="214"/>
      <c r="I11" s="214"/>
      <c r="J11" s="214"/>
      <c r="K11" s="214"/>
      <c r="L11" s="214"/>
      <c r="M11" s="214"/>
      <c r="N11" s="214"/>
      <c r="O11" s="214"/>
    </row>
    <row r="12" ht="15.75" customHeight="1" spans="1:15" x14ac:dyDescent="0.25">
      <c r="A12" s="101" t="s">
        <v>209</v>
      </c>
      <c r="B12" s="217"/>
      <c r="C12" s="221" t="s">
        <v>663</v>
      </c>
      <c r="D12" s="221" t="s">
        <v>664</v>
      </c>
      <c r="E12" s="222" t="s">
        <v>36</v>
      </c>
      <c r="F12" s="221" t="s">
        <v>665</v>
      </c>
      <c r="G12" s="221" t="s">
        <v>666</v>
      </c>
      <c r="H12" s="214"/>
      <c r="I12" s="214"/>
      <c r="J12" s="214"/>
      <c r="K12" s="214"/>
      <c r="L12" s="214"/>
      <c r="M12" s="214"/>
      <c r="N12" s="214"/>
      <c r="O12" s="214"/>
    </row>
    <row r="13" ht="15.75" customHeight="1" spans="1:15" x14ac:dyDescent="0.25">
      <c r="A13" s="101" t="s">
        <v>215</v>
      </c>
      <c r="B13" s="217"/>
      <c r="C13" s="221" t="s">
        <v>216</v>
      </c>
      <c r="D13" s="221" t="s">
        <v>667</v>
      </c>
      <c r="E13" s="221" t="s">
        <v>668</v>
      </c>
      <c r="F13" s="221" t="s">
        <v>669</v>
      </c>
      <c r="G13" s="221" t="s">
        <v>670</v>
      </c>
      <c r="H13" s="214"/>
      <c r="I13" s="214"/>
      <c r="J13" s="214"/>
      <c r="K13" s="214"/>
      <c r="L13" s="214"/>
      <c r="M13" s="214"/>
      <c r="N13" s="214"/>
      <c r="O13" s="214"/>
    </row>
    <row r="14" ht="15.75" customHeight="1" spans="1:15" x14ac:dyDescent="0.25">
      <c r="A14" s="101" t="s">
        <v>221</v>
      </c>
      <c r="B14" s="217"/>
      <c r="C14" s="221" t="s">
        <v>90</v>
      </c>
      <c r="D14" s="221" t="s">
        <v>91</v>
      </c>
      <c r="E14" s="221" t="s">
        <v>94</v>
      </c>
      <c r="F14" s="221" t="s">
        <v>92</v>
      </c>
      <c r="G14" s="221" t="s">
        <v>93</v>
      </c>
      <c r="H14" s="214"/>
      <c r="I14" s="214"/>
      <c r="J14" s="214"/>
      <c r="K14" s="214"/>
      <c r="L14" s="214"/>
      <c r="M14" s="214"/>
      <c r="N14" s="214"/>
      <c r="O14" s="214"/>
    </row>
    <row r="15" ht="15.75" customHeight="1" spans="1:15" x14ac:dyDescent="0.25">
      <c r="A15" s="101" t="s">
        <v>226</v>
      </c>
      <c r="B15" s="217"/>
      <c r="C15" s="221" t="s">
        <v>227</v>
      </c>
      <c r="D15" s="221" t="s">
        <v>671</v>
      </c>
      <c r="E15" s="221" t="s">
        <v>672</v>
      </c>
      <c r="F15" s="221" t="s">
        <v>673</v>
      </c>
      <c r="G15" s="221" t="s">
        <v>674</v>
      </c>
      <c r="H15" s="214"/>
      <c r="I15" s="214"/>
      <c r="J15" s="214"/>
      <c r="K15" s="214"/>
      <c r="L15" s="214"/>
      <c r="M15" s="214"/>
      <c r="N15" s="214"/>
      <c r="O15" s="214"/>
    </row>
    <row r="16" ht="15.75" customHeight="1" spans="1:15" x14ac:dyDescent="0.25">
      <c r="A16" s="101" t="s">
        <v>232</v>
      </c>
      <c r="B16" s="217"/>
      <c r="C16" s="221" t="s">
        <v>20</v>
      </c>
      <c r="D16" s="221" t="s">
        <v>24</v>
      </c>
      <c r="E16" s="221" t="s">
        <v>21</v>
      </c>
      <c r="F16" s="221" t="s">
        <v>22</v>
      </c>
      <c r="G16" s="221" t="s">
        <v>23</v>
      </c>
      <c r="H16" s="214"/>
      <c r="I16" s="214"/>
      <c r="J16" s="214"/>
      <c r="K16" s="214"/>
      <c r="L16" s="214"/>
      <c r="M16" s="214"/>
      <c r="N16" s="214"/>
      <c r="O16" s="214"/>
    </row>
    <row r="17" ht="15.75" customHeight="1" spans="1:15" x14ac:dyDescent="0.25">
      <c r="A17" s="106" t="s">
        <v>237</v>
      </c>
      <c r="B17" s="220"/>
      <c r="C17" s="221" t="s">
        <v>675</v>
      </c>
      <c r="D17" s="221" t="s">
        <v>676</v>
      </c>
      <c r="E17" s="221" t="s">
        <v>677</v>
      </c>
      <c r="F17" s="221" t="s">
        <v>678</v>
      </c>
      <c r="G17" s="221" t="s">
        <v>679</v>
      </c>
      <c r="H17" s="214"/>
      <c r="I17" s="214"/>
      <c r="J17" s="214"/>
      <c r="K17" s="214"/>
      <c r="L17" s="214"/>
      <c r="M17" s="214"/>
      <c r="N17" s="214"/>
      <c r="O17" s="214"/>
    </row>
    <row r="18" ht="15.75" customHeight="1" spans="1:15" x14ac:dyDescent="0.25">
      <c r="A18" s="94" t="s">
        <v>243</v>
      </c>
      <c r="B18" s="216" t="s">
        <v>680</v>
      </c>
      <c r="C18" s="221" t="s">
        <v>95</v>
      </c>
      <c r="D18" s="221" t="s">
        <v>96</v>
      </c>
      <c r="E18" s="221" t="s">
        <v>99</v>
      </c>
      <c r="F18" s="221" t="s">
        <v>97</v>
      </c>
      <c r="G18" s="221" t="s">
        <v>98</v>
      </c>
      <c r="H18" s="214"/>
      <c r="I18" s="214"/>
      <c r="J18" s="214"/>
      <c r="K18" s="214"/>
      <c r="L18" s="214"/>
      <c r="M18" s="214"/>
      <c r="N18" s="214"/>
      <c r="O18" s="214"/>
    </row>
    <row r="19" ht="15.75" customHeight="1" spans="1:15" x14ac:dyDescent="0.25">
      <c r="A19" s="101" t="s">
        <v>249</v>
      </c>
      <c r="B19" s="217"/>
      <c r="C19" s="221" t="s">
        <v>250</v>
      </c>
      <c r="D19" s="221" t="s">
        <v>681</v>
      </c>
      <c r="E19" s="221" t="s">
        <v>682</v>
      </c>
      <c r="F19" s="221" t="s">
        <v>683</v>
      </c>
      <c r="G19" s="221" t="s">
        <v>684</v>
      </c>
      <c r="H19" s="214"/>
      <c r="I19" s="214"/>
      <c r="J19" s="214"/>
      <c r="K19" s="214"/>
      <c r="L19" s="214"/>
      <c r="M19" s="214"/>
      <c r="N19" s="214"/>
      <c r="O19" s="214"/>
    </row>
    <row r="20" ht="15.75" customHeight="1" spans="1:15" x14ac:dyDescent="0.25">
      <c r="A20" s="101" t="s">
        <v>255</v>
      </c>
      <c r="B20" s="217"/>
      <c r="C20" s="221" t="s">
        <v>256</v>
      </c>
      <c r="D20" s="221" t="s">
        <v>685</v>
      </c>
      <c r="E20" s="222" t="s">
        <v>36</v>
      </c>
      <c r="F20" s="221" t="s">
        <v>686</v>
      </c>
      <c r="G20" s="221" t="s">
        <v>687</v>
      </c>
      <c r="H20" s="214"/>
      <c r="I20" s="214"/>
      <c r="J20" s="214"/>
      <c r="K20" s="214"/>
      <c r="L20" s="214"/>
      <c r="M20" s="214"/>
      <c r="N20" s="214"/>
      <c r="O20" s="214"/>
    </row>
    <row r="21" ht="15.75" customHeight="1" spans="1:15" x14ac:dyDescent="0.25">
      <c r="A21" s="101" t="s">
        <v>261</v>
      </c>
      <c r="B21" s="217"/>
      <c r="C21" s="221" t="s">
        <v>26</v>
      </c>
      <c r="D21" s="221" t="s">
        <v>27</v>
      </c>
      <c r="E21" s="221" t="s">
        <v>30</v>
      </c>
      <c r="F21" s="221" t="s">
        <v>28</v>
      </c>
      <c r="G21" s="221" t="s">
        <v>29</v>
      </c>
      <c r="H21" s="214"/>
      <c r="I21" s="214"/>
      <c r="J21" s="214"/>
      <c r="K21" s="214"/>
      <c r="L21" s="214"/>
      <c r="M21" s="214"/>
      <c r="N21" s="214"/>
      <c r="O21" s="214"/>
    </row>
    <row r="22" ht="15.75" customHeight="1" spans="1:15" x14ac:dyDescent="0.25">
      <c r="A22" s="101" t="s">
        <v>266</v>
      </c>
      <c r="B22" s="217"/>
      <c r="C22" s="221" t="s">
        <v>267</v>
      </c>
      <c r="D22" s="221" t="s">
        <v>688</v>
      </c>
      <c r="E22" s="222" t="s">
        <v>36</v>
      </c>
      <c r="F22" s="221" t="s">
        <v>689</v>
      </c>
      <c r="G22" s="221" t="s">
        <v>112</v>
      </c>
      <c r="H22" s="214"/>
      <c r="I22" s="214"/>
      <c r="J22" s="214"/>
      <c r="K22" s="214"/>
      <c r="L22" s="214"/>
      <c r="M22" s="214"/>
      <c r="N22" s="214"/>
      <c r="O22" s="214"/>
    </row>
    <row r="23" ht="15.75" customHeight="1" spans="1:15" x14ac:dyDescent="0.25">
      <c r="A23" s="116" t="s">
        <v>271</v>
      </c>
      <c r="B23" s="220"/>
      <c r="C23" s="221" t="s">
        <v>272</v>
      </c>
      <c r="D23" s="221" t="s">
        <v>690</v>
      </c>
      <c r="E23" s="222" t="s">
        <v>36</v>
      </c>
      <c r="F23" s="221" t="s">
        <v>275</v>
      </c>
      <c r="G23" s="221" t="s">
        <v>691</v>
      </c>
      <c r="H23" s="214"/>
      <c r="I23" s="214"/>
      <c r="J23" s="214"/>
      <c r="K23" s="214"/>
      <c r="L23" s="214"/>
      <c r="M23" s="214"/>
      <c r="N23" s="214"/>
      <c r="O23" s="214"/>
    </row>
    <row r="24" ht="15.75" customHeight="1" spans="1:15" x14ac:dyDescent="0.25">
      <c r="A24" s="123" t="s">
        <v>277</v>
      </c>
      <c r="B24" s="223" t="s">
        <v>692</v>
      </c>
      <c r="C24" s="221" t="s">
        <v>279</v>
      </c>
      <c r="D24" s="221" t="s">
        <v>693</v>
      </c>
      <c r="E24" s="222" t="s">
        <v>36</v>
      </c>
      <c r="F24" s="221" t="s">
        <v>694</v>
      </c>
      <c r="G24" s="221" t="s">
        <v>695</v>
      </c>
      <c r="H24" s="214"/>
      <c r="I24" s="214"/>
      <c r="J24" s="214"/>
      <c r="K24" s="214"/>
      <c r="L24" s="214"/>
      <c r="M24" s="214"/>
      <c r="N24" s="214"/>
      <c r="O24" s="214"/>
    </row>
    <row r="25" ht="15.75" customHeight="1" spans="1:15" x14ac:dyDescent="0.25">
      <c r="A25" s="101" t="s">
        <v>283</v>
      </c>
      <c r="B25" s="217"/>
      <c r="C25" s="221" t="s">
        <v>100</v>
      </c>
      <c r="D25" s="221" t="s">
        <v>101</v>
      </c>
      <c r="E25" s="221" t="s">
        <v>104</v>
      </c>
      <c r="F25" s="221" t="s">
        <v>102</v>
      </c>
      <c r="G25" s="221" t="s">
        <v>103</v>
      </c>
      <c r="H25" s="214"/>
      <c r="I25" s="214"/>
      <c r="J25" s="214"/>
      <c r="K25" s="214"/>
      <c r="L25" s="214"/>
      <c r="M25" s="214"/>
      <c r="N25" s="214"/>
      <c r="O25" s="214"/>
    </row>
    <row r="26" ht="15.75" customHeight="1" spans="1:15" x14ac:dyDescent="0.25">
      <c r="A26" s="101" t="s">
        <v>288</v>
      </c>
      <c r="B26" s="217"/>
      <c r="C26" s="221" t="s">
        <v>289</v>
      </c>
      <c r="D26" s="221" t="s">
        <v>696</v>
      </c>
      <c r="E26" s="221" t="s">
        <v>697</v>
      </c>
      <c r="F26" s="221" t="s">
        <v>698</v>
      </c>
      <c r="G26" s="221" t="s">
        <v>699</v>
      </c>
      <c r="H26" s="214"/>
      <c r="I26" s="214"/>
      <c r="J26" s="214"/>
      <c r="K26" s="214"/>
      <c r="L26" s="214"/>
      <c r="M26" s="214"/>
      <c r="N26" s="214"/>
      <c r="O26" s="214"/>
    </row>
    <row r="27" ht="15.75" customHeight="1" spans="1:15" x14ac:dyDescent="0.25">
      <c r="A27" s="101" t="s">
        <v>293</v>
      </c>
      <c r="B27" s="217"/>
      <c r="C27" s="221" t="s">
        <v>294</v>
      </c>
      <c r="D27" s="221" t="s">
        <v>700</v>
      </c>
      <c r="E27" s="222" t="s">
        <v>36</v>
      </c>
      <c r="F27" s="221" t="s">
        <v>701</v>
      </c>
      <c r="G27" s="221" t="s">
        <v>702</v>
      </c>
      <c r="H27" s="214"/>
      <c r="I27" s="214"/>
      <c r="J27" s="214"/>
      <c r="K27" s="214"/>
      <c r="L27" s="214"/>
      <c r="M27" s="214"/>
      <c r="N27" s="214"/>
      <c r="O27" s="214"/>
    </row>
    <row r="28" ht="15.75" customHeight="1" spans="1:15" x14ac:dyDescent="0.25">
      <c r="A28" s="101" t="s">
        <v>299</v>
      </c>
      <c r="B28" s="217"/>
      <c r="C28" s="221" t="s">
        <v>300</v>
      </c>
      <c r="D28" s="221" t="s">
        <v>703</v>
      </c>
      <c r="E28" s="222" t="s">
        <v>36</v>
      </c>
      <c r="F28" s="221" t="s">
        <v>704</v>
      </c>
      <c r="G28" s="221" t="s">
        <v>705</v>
      </c>
      <c r="H28" s="214"/>
      <c r="I28" s="214"/>
      <c r="J28" s="214"/>
      <c r="K28" s="214"/>
      <c r="L28" s="214"/>
      <c r="M28" s="214"/>
      <c r="N28" s="214"/>
      <c r="O28" s="214"/>
    </row>
    <row r="29" ht="15.75" customHeight="1" spans="1:15" x14ac:dyDescent="0.25">
      <c r="A29" s="106" t="s">
        <v>305</v>
      </c>
      <c r="B29" s="220"/>
      <c r="C29" s="221" t="s">
        <v>32</v>
      </c>
      <c r="D29" s="221" t="s">
        <v>33</v>
      </c>
      <c r="E29" s="222" t="s">
        <v>36</v>
      </c>
      <c r="F29" s="221" t="s">
        <v>34</v>
      </c>
      <c r="G29" s="221" t="s">
        <v>35</v>
      </c>
      <c r="H29" s="214"/>
      <c r="I29" s="214"/>
      <c r="J29" s="214"/>
      <c r="K29" s="214"/>
      <c r="L29" s="214"/>
      <c r="M29" s="214"/>
      <c r="N29" s="214"/>
      <c r="O29" s="214"/>
    </row>
    <row r="30" ht="15.75" customHeight="1" spans="1:15" x14ac:dyDescent="0.25">
      <c r="A30" s="94" t="s">
        <v>310</v>
      </c>
      <c r="B30" s="224" t="s">
        <v>706</v>
      </c>
      <c r="C30" s="221" t="s">
        <v>312</v>
      </c>
      <c r="D30" s="221" t="s">
        <v>707</v>
      </c>
      <c r="E30" s="221" t="s">
        <v>708</v>
      </c>
      <c r="F30" s="221" t="s">
        <v>709</v>
      </c>
      <c r="G30" s="221" t="s">
        <v>710</v>
      </c>
      <c r="H30" s="214"/>
      <c r="I30" s="214"/>
      <c r="J30" s="214"/>
      <c r="K30" s="214"/>
      <c r="L30" s="214"/>
      <c r="M30" s="214"/>
      <c r="N30" s="214"/>
      <c r="O30" s="214"/>
    </row>
    <row r="31" ht="15.75" customHeight="1" spans="1:15" x14ac:dyDescent="0.25">
      <c r="A31" s="101" t="s">
        <v>316</v>
      </c>
      <c r="B31" s="78"/>
      <c r="C31" s="221" t="s">
        <v>317</v>
      </c>
      <c r="D31" s="221" t="s">
        <v>711</v>
      </c>
      <c r="E31" s="221" t="s">
        <v>712</v>
      </c>
      <c r="F31" s="221" t="s">
        <v>713</v>
      </c>
      <c r="G31" s="221" t="s">
        <v>714</v>
      </c>
      <c r="H31" s="214"/>
      <c r="I31" s="214"/>
      <c r="J31" s="214"/>
      <c r="K31" s="214"/>
      <c r="L31" s="214"/>
      <c r="M31" s="214"/>
      <c r="N31" s="214"/>
      <c r="O31" s="214"/>
    </row>
    <row r="32" ht="15.75" customHeight="1" spans="1:15" x14ac:dyDescent="0.25">
      <c r="A32" s="101" t="s">
        <v>322</v>
      </c>
      <c r="B32" s="78"/>
      <c r="C32" s="221" t="s">
        <v>38</v>
      </c>
      <c r="D32" s="221" t="s">
        <v>39</v>
      </c>
      <c r="E32" s="221" t="s">
        <v>42</v>
      </c>
      <c r="F32" s="221" t="s">
        <v>40</v>
      </c>
      <c r="G32" s="221" t="s">
        <v>41</v>
      </c>
      <c r="H32" s="214"/>
      <c r="I32" s="214"/>
      <c r="J32" s="214"/>
      <c r="K32" s="214"/>
      <c r="L32" s="214"/>
      <c r="M32" s="214"/>
      <c r="N32" s="214"/>
      <c r="O32" s="214"/>
    </row>
    <row r="33" ht="15.75" customHeight="1" spans="1:15" x14ac:dyDescent="0.25">
      <c r="A33" s="101" t="s">
        <v>327</v>
      </c>
      <c r="B33" s="78"/>
      <c r="C33" s="225" t="s">
        <v>328</v>
      </c>
      <c r="D33" s="221" t="s">
        <v>715</v>
      </c>
      <c r="E33" s="221" t="s">
        <v>716</v>
      </c>
      <c r="F33" s="221" t="s">
        <v>717</v>
      </c>
      <c r="G33" s="221" t="s">
        <v>718</v>
      </c>
      <c r="H33" s="214"/>
      <c r="I33" s="214"/>
      <c r="J33" s="214"/>
      <c r="K33" s="214"/>
      <c r="L33" s="214"/>
      <c r="M33" s="214"/>
      <c r="N33" s="214"/>
      <c r="O33" s="214"/>
    </row>
    <row r="34" ht="15.75" customHeight="1" spans="1:15" x14ac:dyDescent="0.25">
      <c r="A34" s="101" t="s">
        <v>333</v>
      </c>
      <c r="B34" s="78"/>
      <c r="C34" s="225" t="s">
        <v>334</v>
      </c>
      <c r="D34" s="221" t="s">
        <v>719</v>
      </c>
      <c r="E34" s="221" t="s">
        <v>720</v>
      </c>
      <c r="F34" s="221" t="s">
        <v>721</v>
      </c>
      <c r="G34" s="221" t="s">
        <v>722</v>
      </c>
      <c r="H34" s="214"/>
      <c r="I34" s="214"/>
      <c r="J34" s="214"/>
      <c r="K34" s="214"/>
      <c r="L34" s="214"/>
      <c r="M34" s="214"/>
      <c r="N34" s="214"/>
      <c r="O34" s="214"/>
    </row>
    <row r="35" ht="15.75" customHeight="1" spans="1:15" x14ac:dyDescent="0.25">
      <c r="A35" s="106" t="s">
        <v>339</v>
      </c>
      <c r="B35" s="78"/>
      <c r="C35" s="225" t="s">
        <v>340</v>
      </c>
      <c r="D35" s="221" t="s">
        <v>723</v>
      </c>
      <c r="E35" s="221" t="s">
        <v>724</v>
      </c>
      <c r="F35" s="221" t="s">
        <v>725</v>
      </c>
      <c r="G35" s="221" t="s">
        <v>726</v>
      </c>
      <c r="H35" s="214"/>
      <c r="I35" s="214"/>
      <c r="J35" s="214"/>
      <c r="K35" s="214"/>
      <c r="L35" s="214"/>
      <c r="M35" s="214"/>
      <c r="N35" s="214"/>
      <c r="O35" s="214"/>
    </row>
    <row r="36" ht="15.75" customHeight="1" spans="1:15" x14ac:dyDescent="0.25">
      <c r="A36" s="116" t="s">
        <v>345</v>
      </c>
      <c r="B36" s="111"/>
      <c r="C36" s="225" t="s">
        <v>105</v>
      </c>
      <c r="D36" s="221" t="s">
        <v>106</v>
      </c>
      <c r="E36" s="221" t="s">
        <v>109</v>
      </c>
      <c r="F36" s="221" t="s">
        <v>107</v>
      </c>
      <c r="G36" s="221" t="s">
        <v>108</v>
      </c>
      <c r="H36" s="214"/>
      <c r="I36" s="214"/>
      <c r="J36" s="214"/>
      <c r="K36" s="214"/>
      <c r="L36" s="214"/>
      <c r="M36" s="214"/>
      <c r="N36" s="214"/>
      <c r="O36" s="214"/>
    </row>
    <row r="37" ht="15.75" customHeight="1" spans="1:15" x14ac:dyDescent="0.25">
      <c r="A37" s="94" t="s">
        <v>500</v>
      </c>
      <c r="B37" s="224" t="s">
        <v>501</v>
      </c>
      <c r="C37" s="221" t="s">
        <v>502</v>
      </c>
      <c r="D37" s="221" t="s">
        <v>727</v>
      </c>
      <c r="E37" s="221" t="s">
        <v>728</v>
      </c>
      <c r="F37" s="221" t="s">
        <v>729</v>
      </c>
      <c r="G37" s="221" t="s">
        <v>154</v>
      </c>
      <c r="H37" s="214"/>
      <c r="I37" s="214"/>
      <c r="J37" s="214"/>
      <c r="K37" s="214"/>
      <c r="L37" s="214"/>
      <c r="M37" s="214"/>
      <c r="N37" s="214"/>
      <c r="O37" s="214"/>
    </row>
    <row r="38" ht="15.75" customHeight="1" spans="1:15" x14ac:dyDescent="0.25">
      <c r="A38" s="101" t="s">
        <v>507</v>
      </c>
      <c r="B38" s="78"/>
      <c r="C38" s="221" t="s">
        <v>110</v>
      </c>
      <c r="D38" s="221" t="s">
        <v>111</v>
      </c>
      <c r="E38" s="222" t="s">
        <v>36</v>
      </c>
      <c r="F38" s="221" t="s">
        <v>112</v>
      </c>
      <c r="G38" s="221" t="s">
        <v>113</v>
      </c>
      <c r="H38" s="214"/>
      <c r="I38" s="214"/>
      <c r="J38" s="214"/>
      <c r="K38" s="214"/>
      <c r="L38" s="214"/>
      <c r="M38" s="214"/>
      <c r="N38" s="214"/>
      <c r="O38" s="214"/>
    </row>
    <row r="39" ht="15.75" customHeight="1" spans="1:15" x14ac:dyDescent="0.25">
      <c r="A39" s="116" t="s">
        <v>512</v>
      </c>
      <c r="B39" s="111"/>
      <c r="C39" s="221" t="s">
        <v>44</v>
      </c>
      <c r="D39" s="221" t="s">
        <v>45</v>
      </c>
      <c r="E39" s="221" t="s">
        <v>48</v>
      </c>
      <c r="F39" s="221" t="s">
        <v>46</v>
      </c>
      <c r="G39" s="221" t="s">
        <v>47</v>
      </c>
      <c r="H39" s="214"/>
      <c r="I39" s="214"/>
      <c r="J39" s="214"/>
      <c r="K39" s="214"/>
      <c r="L39" s="214"/>
      <c r="M39" s="214"/>
      <c r="N39" s="214"/>
      <c r="O39" s="214"/>
    </row>
    <row r="40" ht="15.75" customHeight="1" spans="1:15" x14ac:dyDescent="0.25">
      <c r="A40" s="94" t="s">
        <v>350</v>
      </c>
      <c r="B40" s="224" t="s">
        <v>49</v>
      </c>
      <c r="C40" s="221" t="s">
        <v>352</v>
      </c>
      <c r="D40" s="221" t="s">
        <v>730</v>
      </c>
      <c r="E40" s="221" t="s">
        <v>731</v>
      </c>
      <c r="F40" s="221" t="s">
        <v>732</v>
      </c>
      <c r="G40" s="221" t="s">
        <v>733</v>
      </c>
      <c r="H40" s="214"/>
      <c r="I40" s="214"/>
      <c r="J40" s="214"/>
      <c r="K40" s="214"/>
      <c r="L40" s="214"/>
      <c r="M40" s="214"/>
      <c r="N40" s="214"/>
      <c r="O40" s="214"/>
    </row>
    <row r="41" ht="15.75" customHeight="1" spans="1:15" x14ac:dyDescent="0.25">
      <c r="A41" s="101" t="s">
        <v>357</v>
      </c>
      <c r="B41" s="78"/>
      <c r="C41" s="221" t="s">
        <v>50</v>
      </c>
      <c r="D41" s="221" t="s">
        <v>54</v>
      </c>
      <c r="E41" s="221" t="s">
        <v>51</v>
      </c>
      <c r="F41" s="221" t="s">
        <v>52</v>
      </c>
      <c r="G41" s="221" t="s">
        <v>53</v>
      </c>
      <c r="H41" s="214"/>
      <c r="I41" s="214"/>
      <c r="J41" s="214"/>
      <c r="K41" s="214"/>
      <c r="L41" s="214"/>
      <c r="M41" s="214"/>
      <c r="N41" s="214"/>
      <c r="O41" s="214"/>
    </row>
    <row r="42" ht="15.75" customHeight="1" spans="1:15" x14ac:dyDescent="0.25">
      <c r="A42" s="101" t="s">
        <v>362</v>
      </c>
      <c r="B42" s="78"/>
      <c r="C42" s="221" t="s">
        <v>363</v>
      </c>
      <c r="D42" s="221" t="s">
        <v>734</v>
      </c>
      <c r="E42" s="221" t="s">
        <v>735</v>
      </c>
      <c r="F42" s="221" t="s">
        <v>736</v>
      </c>
      <c r="G42" s="221" t="s">
        <v>737</v>
      </c>
      <c r="H42" s="214"/>
      <c r="I42" s="214"/>
      <c r="J42" s="214"/>
      <c r="K42" s="214"/>
      <c r="L42" s="214"/>
      <c r="M42" s="214"/>
      <c r="N42" s="214"/>
      <c r="O42" s="214"/>
    </row>
    <row r="43" ht="15.75" customHeight="1" spans="1:15" x14ac:dyDescent="0.25">
      <c r="A43" s="101" t="s">
        <v>368</v>
      </c>
      <c r="B43" s="78"/>
      <c r="C43" s="221" t="s">
        <v>738</v>
      </c>
      <c r="D43" s="221" t="s">
        <v>739</v>
      </c>
      <c r="E43" s="221" t="s">
        <v>740</v>
      </c>
      <c r="F43" s="221" t="s">
        <v>741</v>
      </c>
      <c r="G43" s="221" t="s">
        <v>154</v>
      </c>
      <c r="H43" s="214"/>
      <c r="I43" s="214"/>
      <c r="J43" s="214"/>
      <c r="K43" s="214"/>
      <c r="L43" s="214"/>
      <c r="M43" s="214"/>
      <c r="N43" s="214"/>
      <c r="O43" s="214"/>
    </row>
    <row r="44" ht="15.75" customHeight="1" spans="1:15" x14ac:dyDescent="0.25">
      <c r="A44" s="101" t="s">
        <v>374</v>
      </c>
      <c r="B44" s="78"/>
      <c r="C44" s="221" t="s">
        <v>375</v>
      </c>
      <c r="D44" s="221" t="s">
        <v>742</v>
      </c>
      <c r="E44" s="221" t="s">
        <v>743</v>
      </c>
      <c r="F44" s="221" t="s">
        <v>744</v>
      </c>
      <c r="G44" s="221" t="s">
        <v>745</v>
      </c>
      <c r="H44" s="214"/>
      <c r="I44" s="214"/>
      <c r="J44" s="214"/>
      <c r="K44" s="214"/>
      <c r="L44" s="214"/>
      <c r="M44" s="214"/>
      <c r="N44" s="214"/>
      <c r="O44" s="214"/>
    </row>
    <row r="45" ht="15.75" customHeight="1" spans="1:15" x14ac:dyDescent="0.25">
      <c r="A45" s="116" t="s">
        <v>380</v>
      </c>
      <c r="B45" s="111"/>
      <c r="C45" s="222" t="s">
        <v>36</v>
      </c>
      <c r="D45" s="221" t="s">
        <v>746</v>
      </c>
      <c r="E45" s="221" t="s">
        <v>747</v>
      </c>
      <c r="F45" s="221" t="s">
        <v>748</v>
      </c>
      <c r="G45" s="221" t="s">
        <v>749</v>
      </c>
      <c r="H45" s="214"/>
      <c r="I45" s="214"/>
      <c r="J45" s="214"/>
      <c r="K45" s="214"/>
      <c r="L45" s="214"/>
      <c r="M45" s="214"/>
      <c r="N45" s="214"/>
      <c r="O45" s="214"/>
    </row>
    <row r="46" ht="15.75" customHeight="1" spans="1:15" x14ac:dyDescent="0.25">
      <c r="A46" s="94" t="s">
        <v>381</v>
      </c>
      <c r="B46" s="224" t="s">
        <v>55</v>
      </c>
      <c r="C46" s="221" t="s">
        <v>383</v>
      </c>
      <c r="D46" s="221" t="s">
        <v>750</v>
      </c>
      <c r="E46" s="222" t="s">
        <v>36</v>
      </c>
      <c r="F46" s="221" t="s">
        <v>751</v>
      </c>
      <c r="G46" s="221" t="s">
        <v>752</v>
      </c>
      <c r="H46" s="214"/>
      <c r="I46" s="214"/>
      <c r="J46" s="214"/>
      <c r="K46" s="214"/>
      <c r="L46" s="214"/>
      <c r="M46" s="214"/>
      <c r="N46" s="214"/>
      <c r="O46" s="214"/>
    </row>
    <row r="47" ht="15.75" customHeight="1" spans="1:15" x14ac:dyDescent="0.25">
      <c r="A47" s="101" t="s">
        <v>387</v>
      </c>
      <c r="B47" s="78"/>
      <c r="C47" s="221" t="s">
        <v>56</v>
      </c>
      <c r="D47" s="221" t="s">
        <v>57</v>
      </c>
      <c r="E47" s="221" t="s">
        <v>60</v>
      </c>
      <c r="F47" s="221" t="s">
        <v>58</v>
      </c>
      <c r="G47" s="221" t="s">
        <v>59</v>
      </c>
      <c r="H47" s="214"/>
      <c r="I47" s="214"/>
      <c r="J47" s="214"/>
      <c r="K47" s="214"/>
      <c r="L47" s="214"/>
      <c r="M47" s="214"/>
      <c r="N47" s="214"/>
      <c r="O47" s="214"/>
    </row>
    <row r="48" ht="15.75" customHeight="1" spans="1:15" x14ac:dyDescent="0.25">
      <c r="A48" s="101" t="s">
        <v>392</v>
      </c>
      <c r="B48" s="78"/>
      <c r="C48" s="221" t="s">
        <v>369</v>
      </c>
      <c r="D48" s="221" t="s">
        <v>753</v>
      </c>
      <c r="E48" s="226"/>
      <c r="F48" s="218" t="s">
        <v>754</v>
      </c>
      <c r="G48" s="218" t="s">
        <v>755</v>
      </c>
      <c r="H48" s="214"/>
      <c r="I48" s="214"/>
      <c r="J48" s="214"/>
      <c r="K48" s="214"/>
      <c r="L48" s="214"/>
      <c r="M48" s="214"/>
      <c r="N48" s="214"/>
      <c r="O48" s="214"/>
    </row>
    <row r="49" ht="15.75" customHeight="1" spans="1:15" x14ac:dyDescent="0.25">
      <c r="A49" s="101" t="s">
        <v>398</v>
      </c>
      <c r="B49" s="78"/>
      <c r="C49" s="221" t="s">
        <v>756</v>
      </c>
      <c r="D49" s="221" t="s">
        <v>757</v>
      </c>
      <c r="E49" s="221" t="s">
        <v>758</v>
      </c>
      <c r="F49" s="221" t="s">
        <v>759</v>
      </c>
      <c r="G49" s="221" t="s">
        <v>760</v>
      </c>
      <c r="H49" s="214"/>
      <c r="I49" s="214"/>
      <c r="J49" s="214"/>
      <c r="K49" s="214"/>
      <c r="L49" s="214"/>
      <c r="M49" s="214"/>
      <c r="N49" s="214"/>
      <c r="O49" s="214"/>
    </row>
    <row r="50" ht="15.75" customHeight="1" spans="1:15" x14ac:dyDescent="0.25">
      <c r="A50" s="101" t="s">
        <v>404</v>
      </c>
      <c r="B50" s="78"/>
      <c r="C50" s="221" t="s">
        <v>761</v>
      </c>
      <c r="D50" s="221" t="s">
        <v>762</v>
      </c>
      <c r="E50" s="222" t="s">
        <v>36</v>
      </c>
      <c r="F50" s="221" t="s">
        <v>763</v>
      </c>
      <c r="G50" s="221" t="s">
        <v>764</v>
      </c>
      <c r="H50" s="214"/>
      <c r="I50" s="214"/>
      <c r="J50" s="214"/>
      <c r="K50" s="214"/>
      <c r="L50" s="214"/>
      <c r="M50" s="214"/>
      <c r="N50" s="214"/>
      <c r="O50" s="214"/>
    </row>
    <row r="51" ht="15.75" customHeight="1" spans="1:15" x14ac:dyDescent="0.25">
      <c r="A51" s="101" t="s">
        <v>410</v>
      </c>
      <c r="B51" s="78"/>
      <c r="C51" s="225" t="s">
        <v>411</v>
      </c>
      <c r="D51" s="221" t="s">
        <v>765</v>
      </c>
      <c r="E51" s="222" t="s">
        <v>36</v>
      </c>
      <c r="F51" s="221" t="s">
        <v>766</v>
      </c>
      <c r="G51" s="221" t="s">
        <v>767</v>
      </c>
      <c r="H51" s="214"/>
      <c r="I51" s="214"/>
      <c r="J51" s="214"/>
      <c r="K51" s="214"/>
      <c r="L51" s="214"/>
      <c r="M51" s="214"/>
      <c r="N51" s="214"/>
      <c r="O51" s="214"/>
    </row>
    <row r="52" ht="15.75" customHeight="1" spans="1:15" x14ac:dyDescent="0.25">
      <c r="A52" s="101" t="s">
        <v>416</v>
      </c>
      <c r="B52" s="78"/>
      <c r="C52" s="225" t="s">
        <v>417</v>
      </c>
      <c r="D52" s="221" t="s">
        <v>768</v>
      </c>
      <c r="E52" s="221" t="s">
        <v>769</v>
      </c>
      <c r="F52" s="221" t="s">
        <v>770</v>
      </c>
      <c r="G52" s="221" t="s">
        <v>771</v>
      </c>
      <c r="H52" s="214"/>
      <c r="I52" s="214"/>
      <c r="J52" s="214"/>
      <c r="K52" s="214"/>
      <c r="L52" s="214"/>
      <c r="M52" s="214"/>
      <c r="N52" s="214"/>
      <c r="O52" s="214"/>
    </row>
    <row r="53" ht="15.75" customHeight="1" spans="1:15" x14ac:dyDescent="0.25">
      <c r="A53" s="116" t="s">
        <v>422</v>
      </c>
      <c r="B53" s="111"/>
      <c r="C53" s="225" t="s">
        <v>168</v>
      </c>
      <c r="D53" s="221" t="s">
        <v>772</v>
      </c>
      <c r="E53" s="221" t="s">
        <v>773</v>
      </c>
      <c r="F53" s="221" t="s">
        <v>774</v>
      </c>
      <c r="G53" s="221" t="s">
        <v>367</v>
      </c>
      <c r="H53" s="214"/>
      <c r="I53" s="214"/>
      <c r="J53" s="214"/>
      <c r="K53" s="214"/>
      <c r="L53" s="214"/>
      <c r="M53" s="214"/>
      <c r="N53" s="214"/>
      <c r="O53" s="214"/>
    </row>
    <row r="54" ht="15.75" customHeight="1" spans="1:15" x14ac:dyDescent="0.25">
      <c r="A54" s="94" t="s">
        <v>428</v>
      </c>
      <c r="B54" s="224" t="s">
        <v>61</v>
      </c>
      <c r="C54" s="221" t="s">
        <v>430</v>
      </c>
      <c r="D54" s="221" t="s">
        <v>775</v>
      </c>
      <c r="E54" s="222" t="s">
        <v>36</v>
      </c>
      <c r="F54" s="221" t="s">
        <v>776</v>
      </c>
      <c r="G54" s="221" t="s">
        <v>777</v>
      </c>
      <c r="H54" s="214"/>
      <c r="I54" s="214"/>
      <c r="J54" s="214"/>
      <c r="K54" s="214"/>
      <c r="L54" s="214"/>
      <c r="M54" s="214"/>
      <c r="N54" s="214"/>
      <c r="O54" s="214"/>
    </row>
    <row r="55" ht="15.75" customHeight="1" spans="1:15" x14ac:dyDescent="0.25">
      <c r="A55" s="101" t="s">
        <v>435</v>
      </c>
      <c r="B55" s="78"/>
      <c r="C55" s="221" t="s">
        <v>436</v>
      </c>
      <c r="D55" s="221" t="s">
        <v>778</v>
      </c>
      <c r="E55" s="222" t="s">
        <v>36</v>
      </c>
      <c r="F55" s="221" t="s">
        <v>779</v>
      </c>
      <c r="G55" s="221" t="s">
        <v>780</v>
      </c>
      <c r="H55" s="214"/>
      <c r="I55" s="214"/>
      <c r="J55" s="214"/>
      <c r="K55" s="214"/>
      <c r="L55" s="214"/>
      <c r="M55" s="214"/>
      <c r="N55" s="214"/>
      <c r="O55" s="214"/>
    </row>
    <row r="56" ht="15.75" customHeight="1" spans="1:15" x14ac:dyDescent="0.25">
      <c r="A56" s="101" t="s">
        <v>441</v>
      </c>
      <c r="B56" s="78"/>
      <c r="C56" s="221" t="s">
        <v>442</v>
      </c>
      <c r="D56" s="221" t="s">
        <v>781</v>
      </c>
      <c r="E56" s="221" t="s">
        <v>782</v>
      </c>
      <c r="F56" s="221" t="s">
        <v>783</v>
      </c>
      <c r="G56" s="221" t="s">
        <v>784</v>
      </c>
      <c r="H56" s="214"/>
      <c r="I56" s="214"/>
      <c r="J56" s="214"/>
      <c r="K56" s="214"/>
      <c r="L56" s="214"/>
      <c r="M56" s="214"/>
      <c r="N56" s="214"/>
      <c r="O56" s="214"/>
    </row>
    <row r="57" ht="15.75" customHeight="1" spans="1:15" x14ac:dyDescent="0.25">
      <c r="A57" s="101" t="s">
        <v>446</v>
      </c>
      <c r="B57" s="78"/>
      <c r="C57" s="221" t="s">
        <v>447</v>
      </c>
      <c r="D57" s="221" t="s">
        <v>785</v>
      </c>
      <c r="E57" s="221" t="s">
        <v>786</v>
      </c>
      <c r="F57" s="221" t="s">
        <v>787</v>
      </c>
      <c r="G57" s="221" t="s">
        <v>788</v>
      </c>
      <c r="H57" s="214"/>
      <c r="I57" s="214"/>
      <c r="J57" s="214"/>
      <c r="K57" s="214"/>
      <c r="L57" s="214"/>
      <c r="M57" s="214"/>
      <c r="N57" s="214"/>
      <c r="O57" s="214"/>
    </row>
    <row r="58" ht="15.75" customHeight="1" spans="1:15" x14ac:dyDescent="0.25">
      <c r="A58" s="101" t="s">
        <v>451</v>
      </c>
      <c r="B58" s="78"/>
      <c r="C58" s="221" t="s">
        <v>114</v>
      </c>
      <c r="D58" s="221" t="s">
        <v>115</v>
      </c>
      <c r="E58" s="222" t="s">
        <v>36</v>
      </c>
      <c r="F58" s="221" t="s">
        <v>116</v>
      </c>
      <c r="G58" s="221" t="s">
        <v>117</v>
      </c>
      <c r="H58" s="214"/>
      <c r="I58" s="214"/>
      <c r="J58" s="214"/>
      <c r="K58" s="214"/>
      <c r="L58" s="214"/>
      <c r="M58" s="214"/>
      <c r="N58" s="214"/>
      <c r="O58" s="214"/>
    </row>
    <row r="59" ht="15.75" customHeight="1" spans="1:15" x14ac:dyDescent="0.25">
      <c r="A59" s="101" t="s">
        <v>455</v>
      </c>
      <c r="B59" s="78"/>
      <c r="C59" s="225" t="s">
        <v>456</v>
      </c>
      <c r="D59" s="221" t="s">
        <v>789</v>
      </c>
      <c r="E59" s="222" t="s">
        <v>36</v>
      </c>
      <c r="F59" s="221" t="s">
        <v>790</v>
      </c>
      <c r="G59" s="221" t="s">
        <v>791</v>
      </c>
      <c r="H59" s="214"/>
      <c r="I59" s="214"/>
      <c r="J59" s="214"/>
      <c r="K59" s="214"/>
      <c r="L59" s="214"/>
      <c r="M59" s="214"/>
      <c r="N59" s="214"/>
      <c r="O59" s="214"/>
    </row>
    <row r="60" ht="15.75" customHeight="1" spans="1:15" x14ac:dyDescent="0.25">
      <c r="A60" s="101" t="s">
        <v>461</v>
      </c>
      <c r="B60" s="78"/>
      <c r="C60" s="225" t="s">
        <v>462</v>
      </c>
      <c r="D60" s="221" t="s">
        <v>792</v>
      </c>
      <c r="E60" s="222" t="s">
        <v>36</v>
      </c>
      <c r="F60" s="221" t="s">
        <v>793</v>
      </c>
      <c r="G60" s="221" t="s">
        <v>794</v>
      </c>
      <c r="H60" s="214"/>
      <c r="I60" s="214"/>
      <c r="J60" s="214"/>
      <c r="K60" s="214"/>
      <c r="L60" s="214"/>
      <c r="M60" s="214"/>
      <c r="N60" s="214"/>
      <c r="O60" s="214"/>
    </row>
    <row r="61" ht="15.75" customHeight="1" spans="1:15" x14ac:dyDescent="0.25">
      <c r="A61" s="116" t="s">
        <v>467</v>
      </c>
      <c r="B61" s="111"/>
      <c r="C61" s="225" t="s">
        <v>62</v>
      </c>
      <c r="D61" s="221" t="s">
        <v>63</v>
      </c>
      <c r="E61" s="222" t="s">
        <v>36</v>
      </c>
      <c r="F61" s="221" t="s">
        <v>64</v>
      </c>
      <c r="G61" s="221" t="s">
        <v>65</v>
      </c>
      <c r="H61" s="214"/>
      <c r="I61" s="214"/>
      <c r="J61" s="214"/>
      <c r="K61" s="214"/>
      <c r="L61" s="214"/>
      <c r="M61" s="214"/>
      <c r="N61" s="214"/>
      <c r="O61" s="214"/>
    </row>
    <row r="62" ht="15.75" customHeight="1" spans="1:15" x14ac:dyDescent="0.25">
      <c r="A62" s="94" t="s">
        <v>471</v>
      </c>
      <c r="B62" s="224" t="s">
        <v>472</v>
      </c>
      <c r="C62" s="221" t="s">
        <v>473</v>
      </c>
      <c r="D62" s="221" t="s">
        <v>795</v>
      </c>
      <c r="E62" s="221" t="s">
        <v>796</v>
      </c>
      <c r="F62" s="221" t="s">
        <v>797</v>
      </c>
      <c r="G62" s="221" t="s">
        <v>798</v>
      </c>
      <c r="H62" s="214"/>
      <c r="I62" s="214"/>
      <c r="J62" s="214"/>
      <c r="K62" s="214"/>
      <c r="L62" s="214"/>
      <c r="M62" s="214"/>
      <c r="N62" s="214"/>
      <c r="O62" s="214"/>
    </row>
    <row r="63" ht="15.75" customHeight="1" spans="1:15" x14ac:dyDescent="0.25">
      <c r="A63" s="101" t="s">
        <v>478</v>
      </c>
      <c r="B63" s="78"/>
      <c r="C63" s="221" t="s">
        <v>479</v>
      </c>
      <c r="D63" s="221" t="s">
        <v>799</v>
      </c>
      <c r="E63" s="221" t="s">
        <v>800</v>
      </c>
      <c r="F63" s="221" t="s">
        <v>801</v>
      </c>
      <c r="G63" s="221" t="s">
        <v>802</v>
      </c>
      <c r="H63" s="214"/>
      <c r="I63" s="214"/>
      <c r="J63" s="214"/>
      <c r="K63" s="214"/>
      <c r="L63" s="214"/>
      <c r="M63" s="214"/>
      <c r="N63" s="214"/>
      <c r="O63" s="214"/>
    </row>
    <row r="64" ht="15.75" customHeight="1" spans="1:15" x14ac:dyDescent="0.25">
      <c r="A64" s="101" t="s">
        <v>484</v>
      </c>
      <c r="B64" s="78"/>
      <c r="C64" s="221" t="s">
        <v>67</v>
      </c>
      <c r="D64" s="221" t="s">
        <v>68</v>
      </c>
      <c r="E64" s="221" t="s">
        <v>71</v>
      </c>
      <c r="F64" s="221" t="s">
        <v>69</v>
      </c>
      <c r="G64" s="221" t="s">
        <v>70</v>
      </c>
      <c r="H64" s="214"/>
      <c r="I64" s="214"/>
      <c r="J64" s="214"/>
      <c r="K64" s="214"/>
      <c r="L64" s="214"/>
      <c r="M64" s="214"/>
      <c r="N64" s="214"/>
      <c r="O64" s="214"/>
    </row>
    <row r="65" ht="15.75" customHeight="1" spans="1:15" x14ac:dyDescent="0.25">
      <c r="A65" s="101" t="s">
        <v>489</v>
      </c>
      <c r="B65" s="78"/>
      <c r="C65" s="221" t="s">
        <v>118</v>
      </c>
      <c r="D65" s="221" t="s">
        <v>119</v>
      </c>
      <c r="E65" s="222" t="s">
        <v>36</v>
      </c>
      <c r="F65" s="221" t="s">
        <v>120</v>
      </c>
      <c r="G65" s="221" t="s">
        <v>121</v>
      </c>
      <c r="H65" s="214"/>
      <c r="I65" s="214"/>
      <c r="J65" s="214"/>
      <c r="K65" s="214"/>
      <c r="L65" s="214"/>
      <c r="M65" s="214"/>
      <c r="N65" s="214"/>
      <c r="O65" s="214"/>
    </row>
    <row r="66" ht="15.75" customHeight="1" spans="1:15" x14ac:dyDescent="0.25">
      <c r="A66" s="116" t="s">
        <v>495</v>
      </c>
      <c r="B66" s="111"/>
      <c r="C66" s="221" t="s">
        <v>496</v>
      </c>
      <c r="D66" s="221" t="s">
        <v>803</v>
      </c>
      <c r="E66" s="221" t="s">
        <v>804</v>
      </c>
      <c r="F66" s="221" t="s">
        <v>805</v>
      </c>
      <c r="G66" s="221" t="s">
        <v>806</v>
      </c>
      <c r="H66" s="214"/>
      <c r="I66" s="214"/>
      <c r="J66" s="214"/>
      <c r="K66" s="214"/>
      <c r="L66" s="214"/>
      <c r="M66" s="214"/>
      <c r="N66" s="214"/>
      <c r="O66" s="214"/>
    </row>
    <row r="67" ht="15.75" customHeight="1" spans="1:15" x14ac:dyDescent="0.25">
      <c r="A67" s="160" t="s">
        <v>516</v>
      </c>
      <c r="B67" s="223" t="s">
        <v>517</v>
      </c>
      <c r="C67" s="221" t="s">
        <v>122</v>
      </c>
      <c r="D67" s="221" t="s">
        <v>123</v>
      </c>
      <c r="E67" s="222" t="s">
        <v>36</v>
      </c>
      <c r="F67" s="221" t="s">
        <v>124</v>
      </c>
      <c r="G67" s="221" t="s">
        <v>125</v>
      </c>
      <c r="H67" s="214"/>
      <c r="I67" s="214"/>
      <c r="J67" s="214"/>
      <c r="K67" s="214"/>
      <c r="L67" s="214"/>
      <c r="M67" s="214"/>
      <c r="N67" s="214"/>
      <c r="O67" s="214"/>
    </row>
    <row r="68" ht="15.75" customHeight="1" spans="1:15" x14ac:dyDescent="0.25">
      <c r="A68" s="162" t="s">
        <v>522</v>
      </c>
      <c r="B68" s="217"/>
      <c r="C68" s="221" t="s">
        <v>523</v>
      </c>
      <c r="D68" s="221" t="s">
        <v>807</v>
      </c>
      <c r="E68" s="221" t="s">
        <v>808</v>
      </c>
      <c r="F68" s="221" t="s">
        <v>367</v>
      </c>
      <c r="G68" s="221" t="s">
        <v>809</v>
      </c>
      <c r="H68" s="214"/>
      <c r="I68" s="214"/>
      <c r="J68" s="214"/>
      <c r="K68" s="214"/>
      <c r="L68" s="214"/>
      <c r="M68" s="214"/>
      <c r="N68" s="214"/>
      <c r="O68" s="214"/>
    </row>
    <row r="69" ht="15.75" customHeight="1" spans="1:15" x14ac:dyDescent="0.25">
      <c r="A69" s="162" t="s">
        <v>528</v>
      </c>
      <c r="B69" s="217"/>
      <c r="C69" s="221" t="s">
        <v>529</v>
      </c>
      <c r="D69" s="221" t="s">
        <v>810</v>
      </c>
      <c r="E69" s="221" t="s">
        <v>811</v>
      </c>
      <c r="F69" s="221" t="s">
        <v>812</v>
      </c>
      <c r="G69" s="221" t="s">
        <v>813</v>
      </c>
      <c r="H69" s="214"/>
      <c r="I69" s="214"/>
      <c r="J69" s="214"/>
      <c r="K69" s="214"/>
      <c r="L69" s="214"/>
      <c r="M69" s="214"/>
      <c r="N69" s="214"/>
      <c r="O69" s="214"/>
    </row>
    <row r="70" ht="15.75" customHeight="1" spans="1:15" x14ac:dyDescent="0.25">
      <c r="A70" s="162" t="s">
        <v>534</v>
      </c>
      <c r="B70" s="217"/>
      <c r="C70" s="221" t="s">
        <v>535</v>
      </c>
      <c r="D70" s="221" t="s">
        <v>814</v>
      </c>
      <c r="E70" s="222" t="s">
        <v>36</v>
      </c>
      <c r="F70" s="221" t="s">
        <v>815</v>
      </c>
      <c r="G70" s="221" t="s">
        <v>816</v>
      </c>
      <c r="H70" s="214"/>
      <c r="I70" s="214"/>
      <c r="J70" s="214"/>
      <c r="K70" s="214"/>
      <c r="L70" s="214"/>
      <c r="M70" s="214"/>
      <c r="N70" s="214"/>
      <c r="O70" s="214"/>
    </row>
    <row r="71" ht="15.75" customHeight="1" spans="1:15" x14ac:dyDescent="0.25">
      <c r="A71" s="162" t="s">
        <v>540</v>
      </c>
      <c r="B71" s="217"/>
      <c r="C71" s="221" t="s">
        <v>541</v>
      </c>
      <c r="D71" s="221" t="s">
        <v>817</v>
      </c>
      <c r="E71" s="221" t="s">
        <v>818</v>
      </c>
      <c r="F71" s="221" t="s">
        <v>819</v>
      </c>
      <c r="G71" s="221" t="s">
        <v>820</v>
      </c>
      <c r="H71" s="214"/>
      <c r="I71" s="214"/>
      <c r="J71" s="214"/>
      <c r="K71" s="214"/>
      <c r="L71" s="214"/>
      <c r="M71" s="214"/>
      <c r="N71" s="214"/>
      <c r="O71" s="214"/>
    </row>
    <row r="72" ht="15.75" customHeight="1" spans="1:15" x14ac:dyDescent="0.25">
      <c r="A72" s="162" t="s">
        <v>546</v>
      </c>
      <c r="B72" s="217"/>
      <c r="C72" s="221" t="s">
        <v>821</v>
      </c>
      <c r="D72" s="221" t="s">
        <v>822</v>
      </c>
      <c r="E72" s="222" t="s">
        <v>36</v>
      </c>
      <c r="F72" s="221" t="s">
        <v>823</v>
      </c>
      <c r="G72" s="221" t="s">
        <v>824</v>
      </c>
      <c r="H72" s="214"/>
      <c r="I72" s="214"/>
      <c r="J72" s="214"/>
      <c r="K72" s="214"/>
      <c r="L72" s="214"/>
      <c r="M72" s="214"/>
      <c r="N72" s="214"/>
      <c r="O72" s="214"/>
    </row>
    <row r="73" ht="15.75" customHeight="1" spans="1:15" x14ac:dyDescent="0.25">
      <c r="A73" s="162" t="s">
        <v>552</v>
      </c>
      <c r="B73" s="217"/>
      <c r="C73" s="221" t="s">
        <v>547</v>
      </c>
      <c r="D73" s="221" t="s">
        <v>825</v>
      </c>
      <c r="E73" s="221" t="s">
        <v>826</v>
      </c>
      <c r="F73" s="221" t="s">
        <v>827</v>
      </c>
      <c r="G73" s="221" t="s">
        <v>828</v>
      </c>
      <c r="H73" s="214"/>
      <c r="I73" s="214"/>
      <c r="J73" s="214"/>
      <c r="K73" s="214"/>
      <c r="L73" s="214"/>
      <c r="M73" s="214"/>
      <c r="N73" s="214"/>
      <c r="O73" s="214"/>
    </row>
    <row r="74" ht="15.75" customHeight="1" spans="1:15" x14ac:dyDescent="0.25">
      <c r="A74" s="162" t="s">
        <v>558</v>
      </c>
      <c r="B74" s="217"/>
      <c r="C74" s="221" t="s">
        <v>559</v>
      </c>
      <c r="D74" s="221" t="s">
        <v>829</v>
      </c>
      <c r="E74" s="221" t="s">
        <v>830</v>
      </c>
      <c r="F74" s="221" t="s">
        <v>831</v>
      </c>
      <c r="G74" s="221" t="s">
        <v>832</v>
      </c>
      <c r="H74" s="214"/>
      <c r="I74" s="214"/>
      <c r="J74" s="214"/>
      <c r="K74" s="214"/>
      <c r="L74" s="214"/>
      <c r="M74" s="214"/>
      <c r="N74" s="214"/>
      <c r="O74" s="214"/>
    </row>
    <row r="75" ht="15.75" customHeight="1" spans="1:15" x14ac:dyDescent="0.25">
      <c r="A75" s="163" t="s">
        <v>564</v>
      </c>
      <c r="B75" s="220"/>
      <c r="C75" s="221" t="s">
        <v>73</v>
      </c>
      <c r="D75" s="221" t="s">
        <v>74</v>
      </c>
      <c r="E75" s="221" t="s">
        <v>77</v>
      </c>
      <c r="F75" s="221" t="s">
        <v>75</v>
      </c>
      <c r="G75" s="221" t="s">
        <v>76</v>
      </c>
      <c r="H75" s="214"/>
      <c r="I75" s="214"/>
      <c r="J75" s="214"/>
      <c r="K75" s="214"/>
      <c r="L75" s="214"/>
      <c r="M75" s="214"/>
      <c r="N75" s="214"/>
      <c r="O75" s="214"/>
    </row>
    <row r="76" ht="15.75" customHeight="1" spans="1:15" x14ac:dyDescent="0.25">
      <c r="A76" s="164" t="s">
        <v>569</v>
      </c>
      <c r="B76" s="216" t="s">
        <v>570</v>
      </c>
      <c r="C76" s="221" t="s">
        <v>79</v>
      </c>
      <c r="D76" s="221" t="s">
        <v>80</v>
      </c>
      <c r="E76" s="222" t="s">
        <v>36</v>
      </c>
      <c r="F76" s="221" t="s">
        <v>81</v>
      </c>
      <c r="G76" s="221" t="s">
        <v>82</v>
      </c>
      <c r="H76" s="214"/>
      <c r="I76" s="214"/>
      <c r="J76" s="214"/>
      <c r="K76" s="214"/>
      <c r="L76" s="214"/>
      <c r="M76" s="214"/>
      <c r="N76" s="214"/>
      <c r="O76" s="214"/>
    </row>
    <row r="77" ht="15.75" customHeight="1" spans="1:15" x14ac:dyDescent="0.25">
      <c r="A77" s="162" t="s">
        <v>576</v>
      </c>
      <c r="B77" s="217"/>
      <c r="C77" s="221" t="s">
        <v>577</v>
      </c>
      <c r="D77" s="221" t="s">
        <v>833</v>
      </c>
      <c r="E77" s="222" t="s">
        <v>36</v>
      </c>
      <c r="F77" s="221" t="s">
        <v>834</v>
      </c>
      <c r="G77" s="221" t="s">
        <v>835</v>
      </c>
      <c r="H77" s="214"/>
      <c r="I77" s="214"/>
      <c r="J77" s="214"/>
      <c r="K77" s="214"/>
      <c r="L77" s="214"/>
      <c r="M77" s="214"/>
      <c r="N77" s="214"/>
      <c r="O77" s="214"/>
    </row>
    <row r="78" ht="15.75" customHeight="1" spans="1:15" x14ac:dyDescent="0.25">
      <c r="A78" s="162" t="s">
        <v>582</v>
      </c>
      <c r="B78" s="217"/>
      <c r="C78" s="221" t="s">
        <v>583</v>
      </c>
      <c r="D78" s="221" t="s">
        <v>836</v>
      </c>
      <c r="E78" s="222" t="s">
        <v>36</v>
      </c>
      <c r="F78" s="221" t="s">
        <v>837</v>
      </c>
      <c r="G78" s="221" t="s">
        <v>838</v>
      </c>
      <c r="H78" s="214"/>
      <c r="I78" s="214"/>
      <c r="J78" s="214"/>
      <c r="K78" s="214"/>
      <c r="L78" s="214"/>
      <c r="M78" s="214"/>
      <c r="N78" s="214"/>
      <c r="O78" s="214"/>
    </row>
    <row r="79" ht="15.75" customHeight="1" spans="1:15" x14ac:dyDescent="0.25">
      <c r="A79" s="162" t="s">
        <v>588</v>
      </c>
      <c r="B79" s="217"/>
      <c r="C79" s="221" t="s">
        <v>126</v>
      </c>
      <c r="D79" s="221" t="s">
        <v>127</v>
      </c>
      <c r="E79" s="221" t="s">
        <v>130</v>
      </c>
      <c r="F79" s="221" t="s">
        <v>128</v>
      </c>
      <c r="G79" s="221" t="s">
        <v>129</v>
      </c>
      <c r="H79" s="214"/>
      <c r="I79" s="214"/>
      <c r="J79" s="214"/>
      <c r="K79" s="214"/>
      <c r="L79" s="214"/>
      <c r="M79" s="214"/>
      <c r="N79" s="214"/>
      <c r="O79" s="214"/>
    </row>
    <row r="80" ht="15.75" customHeight="1" spans="1:15" x14ac:dyDescent="0.25">
      <c r="A80" s="162" t="s">
        <v>593</v>
      </c>
      <c r="B80" s="217"/>
      <c r="C80" s="221" t="s">
        <v>594</v>
      </c>
      <c r="D80" s="221" t="s">
        <v>548</v>
      </c>
      <c r="E80" s="222" t="s">
        <v>36</v>
      </c>
      <c r="F80" s="221" t="s">
        <v>839</v>
      </c>
      <c r="G80" s="221" t="s">
        <v>840</v>
      </c>
      <c r="H80" s="214"/>
      <c r="I80" s="214"/>
      <c r="J80" s="214"/>
      <c r="K80" s="214"/>
      <c r="L80" s="214"/>
      <c r="M80" s="214"/>
      <c r="N80" s="214"/>
      <c r="O80" s="214"/>
    </row>
    <row r="81" ht="15.75" customHeight="1" spans="1:15" x14ac:dyDescent="0.25">
      <c r="A81" s="162" t="s">
        <v>599</v>
      </c>
      <c r="B81" s="217"/>
      <c r="C81" s="221" t="s">
        <v>600</v>
      </c>
      <c r="D81" s="221" t="s">
        <v>841</v>
      </c>
      <c r="E81" s="222" t="s">
        <v>36</v>
      </c>
      <c r="F81" s="221" t="s">
        <v>842</v>
      </c>
      <c r="G81" s="221" t="s">
        <v>843</v>
      </c>
      <c r="H81" s="214"/>
      <c r="I81" s="214"/>
      <c r="J81" s="214"/>
      <c r="K81" s="214"/>
      <c r="L81" s="214"/>
      <c r="M81" s="214"/>
      <c r="N81" s="214"/>
      <c r="O81" s="214"/>
    </row>
    <row r="82" ht="15.75" customHeight="1" spans="1:15" x14ac:dyDescent="0.25">
      <c r="A82" s="162" t="s">
        <v>605</v>
      </c>
      <c r="B82" s="217"/>
      <c r="C82" s="221" t="s">
        <v>606</v>
      </c>
      <c r="D82" s="221" t="s">
        <v>844</v>
      </c>
      <c r="E82" s="221" t="s">
        <v>845</v>
      </c>
      <c r="F82" s="221" t="s">
        <v>846</v>
      </c>
      <c r="G82" s="221" t="s">
        <v>847</v>
      </c>
      <c r="H82" s="214"/>
      <c r="I82" s="214"/>
      <c r="J82" s="214"/>
      <c r="K82" s="214"/>
      <c r="L82" s="214"/>
      <c r="M82" s="214"/>
      <c r="N82" s="214"/>
      <c r="O82" s="214"/>
    </row>
    <row r="83" ht="15.75" customHeight="1" spans="1:15" x14ac:dyDescent="0.25">
      <c r="A83" s="162" t="s">
        <v>611</v>
      </c>
      <c r="B83" s="217"/>
      <c r="C83" s="221" t="s">
        <v>612</v>
      </c>
      <c r="D83" s="221" t="s">
        <v>848</v>
      </c>
      <c r="E83" s="221" t="s">
        <v>849</v>
      </c>
      <c r="F83" s="221" t="s">
        <v>850</v>
      </c>
      <c r="G83" s="221" t="s">
        <v>851</v>
      </c>
      <c r="H83" s="214"/>
      <c r="I83" s="214"/>
      <c r="J83" s="214"/>
      <c r="K83" s="214"/>
      <c r="L83" s="214"/>
      <c r="M83" s="214"/>
      <c r="N83" s="214"/>
      <c r="O83" s="214"/>
    </row>
    <row r="84" ht="15.75" customHeight="1" spans="1:15" x14ac:dyDescent="0.25">
      <c r="A84" s="166" t="s">
        <v>616</v>
      </c>
      <c r="B84" s="220"/>
      <c r="C84" s="221" t="s">
        <v>617</v>
      </c>
      <c r="D84" s="221" t="s">
        <v>852</v>
      </c>
      <c r="E84" s="221" t="s">
        <v>853</v>
      </c>
      <c r="F84" s="221" t="s">
        <v>854</v>
      </c>
      <c r="G84" s="221" t="s">
        <v>855</v>
      </c>
      <c r="H84" s="214"/>
      <c r="I84" s="214"/>
      <c r="J84" s="214"/>
      <c r="K84" s="214"/>
      <c r="L84" s="214"/>
      <c r="M84" s="214"/>
      <c r="N84" s="214"/>
      <c r="O84" s="214"/>
    </row>
    <row r="85" ht="15.75" customHeight="1" spans="1:15" x14ac:dyDescent="0.25">
      <c r="A85" s="214"/>
      <c r="B85" s="227"/>
      <c r="C85" s="228"/>
      <c r="D85" s="228"/>
      <c r="E85" s="228"/>
      <c r="F85" s="228"/>
      <c r="G85" s="228"/>
      <c r="H85" s="214"/>
      <c r="I85" s="214"/>
      <c r="J85" s="214"/>
      <c r="K85" s="214"/>
      <c r="L85" s="214"/>
      <c r="M85" s="214"/>
      <c r="N85" s="214"/>
      <c r="O85" s="214"/>
    </row>
    <row r="86" ht="15.75" customHeight="1" spans="1:15" x14ac:dyDescent="0.25">
      <c r="A86" s="214"/>
      <c r="B86" s="227"/>
      <c r="C86" s="228"/>
      <c r="D86" s="228"/>
      <c r="E86" s="228"/>
      <c r="F86" s="228"/>
      <c r="G86" s="228"/>
      <c r="H86" s="214"/>
      <c r="I86" s="214"/>
      <c r="J86" s="214"/>
      <c r="K86" s="214"/>
      <c r="L86" s="214"/>
      <c r="M86" s="214"/>
      <c r="N86" s="214"/>
      <c r="O86" s="214"/>
    </row>
    <row r="87" ht="15.75" customHeight="1" spans="1:15" x14ac:dyDescent="0.25">
      <c r="A87" s="214"/>
      <c r="B87" s="227"/>
      <c r="C87" s="228"/>
      <c r="D87" s="228"/>
      <c r="E87" s="228"/>
      <c r="F87" s="228"/>
      <c r="G87" s="228"/>
      <c r="H87" s="214"/>
      <c r="I87" s="214"/>
      <c r="J87" s="214"/>
      <c r="K87" s="214"/>
      <c r="L87" s="214"/>
      <c r="M87" s="214"/>
      <c r="N87" s="214"/>
      <c r="O87" s="214"/>
    </row>
    <row r="88" ht="15.75" customHeight="1" spans="1:15" x14ac:dyDescent="0.25">
      <c r="A88" s="214"/>
      <c r="B88" s="227"/>
      <c r="C88" s="228"/>
      <c r="D88" s="228"/>
      <c r="E88" s="228"/>
      <c r="F88" s="228"/>
      <c r="G88" s="228"/>
      <c r="H88" s="214"/>
      <c r="I88" s="214"/>
      <c r="J88" s="214"/>
      <c r="K88" s="214"/>
      <c r="L88" s="214"/>
      <c r="M88" s="214"/>
      <c r="N88" s="214"/>
      <c r="O88" s="214"/>
    </row>
    <row r="89" ht="15.75" customHeight="1" spans="1:15" x14ac:dyDescent="0.25">
      <c r="A89" s="214"/>
      <c r="B89" s="227"/>
      <c r="C89" s="228"/>
      <c r="D89" s="228"/>
      <c r="E89" s="228"/>
      <c r="F89" s="228"/>
      <c r="G89" s="228"/>
      <c r="H89" s="214"/>
      <c r="I89" s="214"/>
      <c r="J89" s="214"/>
      <c r="K89" s="214"/>
      <c r="L89" s="214"/>
      <c r="M89" s="214"/>
      <c r="N89" s="214"/>
      <c r="O89" s="214"/>
    </row>
    <row r="90" ht="15.75" customHeight="1" spans="1:15" x14ac:dyDescent="0.25">
      <c r="A90" s="214"/>
      <c r="B90" s="227"/>
      <c r="C90" s="228"/>
      <c r="D90" s="228"/>
      <c r="E90" s="228"/>
      <c r="F90" s="228"/>
      <c r="G90" s="228"/>
      <c r="H90" s="214"/>
      <c r="I90" s="214"/>
      <c r="J90" s="214"/>
      <c r="K90" s="214"/>
      <c r="L90" s="214"/>
      <c r="M90" s="214"/>
      <c r="N90" s="214"/>
      <c r="O90" s="214"/>
    </row>
    <row r="91" ht="15.75" customHeight="1" spans="1:15" x14ac:dyDescent="0.25">
      <c r="A91" s="214"/>
      <c r="B91" s="227"/>
      <c r="C91" s="228"/>
      <c r="D91" s="228"/>
      <c r="E91" s="228"/>
      <c r="F91" s="228"/>
      <c r="G91" s="228"/>
      <c r="H91" s="214"/>
      <c r="I91" s="214"/>
      <c r="J91" s="214"/>
      <c r="K91" s="214"/>
      <c r="L91" s="214"/>
      <c r="M91" s="214"/>
      <c r="N91" s="214"/>
      <c r="O91" s="214"/>
    </row>
    <row r="92" ht="15.75" customHeight="1" spans="1:15" x14ac:dyDescent="0.25">
      <c r="A92" s="214"/>
      <c r="B92" s="227"/>
      <c r="C92" s="228"/>
      <c r="D92" s="228"/>
      <c r="E92" s="228"/>
      <c r="F92" s="228"/>
      <c r="G92" s="228"/>
      <c r="H92" s="214"/>
      <c r="I92" s="214"/>
      <c r="J92" s="214"/>
      <c r="K92" s="214"/>
      <c r="L92" s="214"/>
      <c r="M92" s="214"/>
      <c r="N92" s="214"/>
      <c r="O92" s="214"/>
    </row>
    <row r="93" ht="15.75" customHeight="1" spans="1:15" x14ac:dyDescent="0.25">
      <c r="A93" s="214"/>
      <c r="B93" s="227"/>
      <c r="C93" s="228"/>
      <c r="D93" s="228"/>
      <c r="E93" s="228"/>
      <c r="F93" s="228"/>
      <c r="G93" s="228"/>
      <c r="H93" s="214"/>
      <c r="I93" s="214"/>
      <c r="J93" s="214"/>
      <c r="K93" s="214"/>
      <c r="L93" s="214"/>
      <c r="M93" s="214"/>
      <c r="N93" s="214"/>
      <c r="O93" s="214"/>
    </row>
    <row r="94" ht="15.75" customHeight="1" spans="1:15" x14ac:dyDescent="0.25">
      <c r="A94" s="214"/>
      <c r="B94" s="227"/>
      <c r="C94" s="228"/>
      <c r="D94" s="228"/>
      <c r="E94" s="228"/>
      <c r="F94" s="228"/>
      <c r="G94" s="228"/>
      <c r="H94" s="214"/>
      <c r="I94" s="214"/>
      <c r="J94" s="214"/>
      <c r="K94" s="214"/>
      <c r="L94" s="214"/>
      <c r="M94" s="214"/>
      <c r="N94" s="214"/>
      <c r="O94" s="214"/>
    </row>
    <row r="95" ht="15.75" customHeight="1" spans="1:15" x14ac:dyDescent="0.25">
      <c r="A95" s="214"/>
      <c r="B95" s="227"/>
      <c r="C95" s="228"/>
      <c r="D95" s="228"/>
      <c r="E95" s="228"/>
      <c r="F95" s="228"/>
      <c r="G95" s="228"/>
      <c r="H95" s="214"/>
      <c r="I95" s="214"/>
      <c r="J95" s="214"/>
      <c r="K95" s="214"/>
      <c r="L95" s="214"/>
      <c r="M95" s="214"/>
      <c r="N95" s="214"/>
      <c r="O95" s="214"/>
    </row>
    <row r="96" ht="15.75" customHeight="1" spans="1:15" x14ac:dyDescent="0.25">
      <c r="A96" s="214"/>
      <c r="B96" s="227"/>
      <c r="C96" s="228"/>
      <c r="D96" s="228"/>
      <c r="E96" s="228"/>
      <c r="F96" s="228"/>
      <c r="G96" s="228"/>
      <c r="H96" s="214"/>
      <c r="I96" s="214"/>
      <c r="J96" s="214"/>
      <c r="K96" s="214"/>
      <c r="L96" s="214"/>
      <c r="M96" s="214"/>
      <c r="N96" s="214"/>
      <c r="O96" s="214"/>
    </row>
    <row r="97" ht="15.75" customHeight="1" spans="1:15" x14ac:dyDescent="0.25">
      <c r="A97" s="214"/>
      <c r="B97" s="227"/>
      <c r="C97" s="228"/>
      <c r="D97" s="228"/>
      <c r="E97" s="228"/>
      <c r="F97" s="228"/>
      <c r="G97" s="228"/>
      <c r="H97" s="214"/>
      <c r="I97" s="214"/>
      <c r="J97" s="214"/>
      <c r="K97" s="214"/>
      <c r="L97" s="214"/>
      <c r="M97" s="214"/>
      <c r="N97" s="214"/>
      <c r="O97" s="214"/>
    </row>
    <row r="98" ht="15.75" customHeight="1" spans="1:15" x14ac:dyDescent="0.25">
      <c r="A98" s="214"/>
      <c r="B98" s="227"/>
      <c r="C98" s="228"/>
      <c r="D98" s="228"/>
      <c r="E98" s="228"/>
      <c r="F98" s="228"/>
      <c r="G98" s="228"/>
      <c r="H98" s="214"/>
      <c r="I98" s="214"/>
      <c r="J98" s="214"/>
      <c r="K98" s="214"/>
      <c r="L98" s="214"/>
      <c r="M98" s="214"/>
      <c r="N98" s="214"/>
      <c r="O98" s="214"/>
    </row>
    <row r="99" ht="15.75" customHeight="1" spans="1:15" x14ac:dyDescent="0.25">
      <c r="A99" s="214"/>
      <c r="B99" s="227"/>
      <c r="C99" s="228"/>
      <c r="D99" s="228"/>
      <c r="E99" s="228"/>
      <c r="F99" s="228"/>
      <c r="G99" s="228"/>
      <c r="H99" s="214"/>
      <c r="I99" s="214"/>
      <c r="J99" s="214"/>
      <c r="K99" s="214"/>
      <c r="L99" s="214"/>
      <c r="M99" s="214"/>
      <c r="N99" s="214"/>
      <c r="O99" s="214"/>
    </row>
    <row r="100" ht="15.75" customHeight="1" spans="1:15" x14ac:dyDescent="0.25">
      <c r="A100" s="214"/>
      <c r="B100" s="227"/>
      <c r="C100" s="228"/>
      <c r="D100" s="228"/>
      <c r="E100" s="228"/>
      <c r="F100" s="228"/>
      <c r="G100" s="228"/>
      <c r="H100" s="214"/>
      <c r="I100" s="214"/>
      <c r="J100" s="214"/>
      <c r="K100" s="214"/>
      <c r="L100" s="214"/>
      <c r="M100" s="214"/>
      <c r="N100" s="214"/>
      <c r="O100" s="214"/>
    </row>
    <row r="101" ht="15.75" customHeight="1" spans="1:15" x14ac:dyDescent="0.25">
      <c r="A101" s="214"/>
      <c r="B101" s="227"/>
      <c r="C101" s="228"/>
      <c r="D101" s="228"/>
      <c r="E101" s="228"/>
      <c r="F101" s="228"/>
      <c r="G101" s="228"/>
      <c r="H101" s="214"/>
      <c r="I101" s="214"/>
      <c r="J101" s="214"/>
      <c r="K101" s="214"/>
      <c r="L101" s="214"/>
      <c r="M101" s="214"/>
      <c r="N101" s="214"/>
      <c r="O101" s="214"/>
    </row>
    <row r="102" ht="15.75" customHeight="1" spans="1:15" x14ac:dyDescent="0.25">
      <c r="A102" s="214"/>
      <c r="B102" s="227"/>
      <c r="C102" s="228"/>
      <c r="D102" s="228"/>
      <c r="E102" s="228"/>
      <c r="F102" s="228"/>
      <c r="G102" s="228"/>
      <c r="H102" s="214"/>
      <c r="I102" s="214"/>
      <c r="J102" s="214"/>
      <c r="K102" s="214"/>
      <c r="L102" s="214"/>
      <c r="M102" s="214"/>
      <c r="N102" s="214"/>
      <c r="O102" s="214"/>
    </row>
    <row r="103" ht="15.75" customHeight="1" spans="1:15" x14ac:dyDescent="0.25">
      <c r="A103" s="214"/>
      <c r="B103" s="227"/>
      <c r="C103" s="228"/>
      <c r="D103" s="228"/>
      <c r="E103" s="228"/>
      <c r="F103" s="228"/>
      <c r="G103" s="228"/>
      <c r="H103" s="214"/>
      <c r="I103" s="214"/>
      <c r="J103" s="214"/>
      <c r="K103" s="214"/>
      <c r="L103" s="214"/>
      <c r="M103" s="214"/>
      <c r="N103" s="214"/>
      <c r="O103" s="214"/>
    </row>
    <row r="104" ht="15.75" customHeight="1" spans="1:15" x14ac:dyDescent="0.25">
      <c r="A104" s="214"/>
      <c r="B104" s="227"/>
      <c r="C104" s="228"/>
      <c r="D104" s="228"/>
      <c r="E104" s="228"/>
      <c r="F104" s="228"/>
      <c r="G104" s="228"/>
      <c r="H104" s="214"/>
      <c r="I104" s="214"/>
      <c r="J104" s="214"/>
      <c r="K104" s="214"/>
      <c r="L104" s="214"/>
      <c r="M104" s="214"/>
      <c r="N104" s="214"/>
      <c r="O104" s="214"/>
    </row>
    <row r="105" ht="15.75" customHeight="1" spans="1:15" x14ac:dyDescent="0.25">
      <c r="A105" s="214"/>
      <c r="B105" s="227"/>
      <c r="C105" s="228"/>
      <c r="D105" s="228"/>
      <c r="E105" s="228"/>
      <c r="F105" s="228"/>
      <c r="G105" s="228"/>
      <c r="H105" s="214"/>
      <c r="I105" s="214"/>
      <c r="J105" s="214"/>
      <c r="K105" s="214"/>
      <c r="L105" s="214"/>
      <c r="M105" s="214"/>
      <c r="N105" s="214"/>
      <c r="O105" s="214"/>
    </row>
    <row r="106" ht="15.75" customHeight="1" spans="1:15" x14ac:dyDescent="0.25">
      <c r="A106" s="214"/>
      <c r="B106" s="227"/>
      <c r="C106" s="228"/>
      <c r="D106" s="228"/>
      <c r="E106" s="228"/>
      <c r="F106" s="228"/>
      <c r="G106" s="228"/>
      <c r="H106" s="214"/>
      <c r="I106" s="214"/>
      <c r="J106" s="214"/>
      <c r="K106" s="214"/>
      <c r="L106" s="214"/>
      <c r="M106" s="214"/>
      <c r="N106" s="214"/>
      <c r="O106" s="214"/>
    </row>
    <row r="107" ht="15.75" customHeight="1" spans="1:15" x14ac:dyDescent="0.25">
      <c r="A107" s="214"/>
      <c r="B107" s="227"/>
      <c r="C107" s="228"/>
      <c r="D107" s="228"/>
      <c r="E107" s="228"/>
      <c r="F107" s="228"/>
      <c r="G107" s="228"/>
      <c r="H107" s="214"/>
      <c r="I107" s="214"/>
      <c r="J107" s="214"/>
      <c r="K107" s="214"/>
      <c r="L107" s="214"/>
      <c r="M107" s="214"/>
      <c r="N107" s="214"/>
      <c r="O107" s="214"/>
    </row>
    <row r="108" ht="15.75" customHeight="1" spans="1:15" x14ac:dyDescent="0.25">
      <c r="A108" s="214"/>
      <c r="B108" s="227"/>
      <c r="C108" s="228"/>
      <c r="D108" s="228"/>
      <c r="E108" s="228"/>
      <c r="F108" s="228"/>
      <c r="G108" s="228"/>
      <c r="H108" s="214"/>
      <c r="I108" s="214"/>
      <c r="J108" s="214"/>
      <c r="K108" s="214"/>
      <c r="L108" s="214"/>
      <c r="M108" s="214"/>
      <c r="N108" s="214"/>
      <c r="O108" s="214"/>
    </row>
    <row r="109" ht="15.75" customHeight="1" spans="1:15" x14ac:dyDescent="0.25">
      <c r="A109" s="214"/>
      <c r="B109" s="227"/>
      <c r="C109" s="228"/>
      <c r="D109" s="228"/>
      <c r="E109" s="228"/>
      <c r="F109" s="228"/>
      <c r="G109" s="228"/>
      <c r="H109" s="214"/>
      <c r="I109" s="214"/>
      <c r="J109" s="214"/>
      <c r="K109" s="214"/>
      <c r="L109" s="214"/>
      <c r="M109" s="214"/>
      <c r="N109" s="214"/>
      <c r="O109" s="214"/>
    </row>
    <row r="110" ht="15.75" customHeight="1" spans="1:15" x14ac:dyDescent="0.25">
      <c r="A110" s="214"/>
      <c r="B110" s="227"/>
      <c r="C110" s="228"/>
      <c r="D110" s="228"/>
      <c r="E110" s="228"/>
      <c r="F110" s="228"/>
      <c r="G110" s="228"/>
      <c r="H110" s="214"/>
      <c r="I110" s="214"/>
      <c r="J110" s="214"/>
      <c r="K110" s="214"/>
      <c r="L110" s="214"/>
      <c r="M110" s="214"/>
      <c r="N110" s="214"/>
      <c r="O110" s="214"/>
    </row>
    <row r="111" ht="15.75" customHeight="1" spans="1:15" x14ac:dyDescent="0.25">
      <c r="A111" s="214"/>
      <c r="B111" s="227"/>
      <c r="C111" s="228"/>
      <c r="D111" s="228"/>
      <c r="E111" s="228"/>
      <c r="F111" s="228"/>
      <c r="G111" s="228"/>
      <c r="H111" s="214"/>
      <c r="I111" s="214"/>
      <c r="J111" s="214"/>
      <c r="K111" s="214"/>
      <c r="L111" s="214"/>
      <c r="M111" s="214"/>
      <c r="N111" s="214"/>
      <c r="O111" s="214"/>
    </row>
    <row r="112" ht="15.75" customHeight="1" spans="1:15" x14ac:dyDescent="0.25">
      <c r="A112" s="214"/>
      <c r="B112" s="227"/>
      <c r="C112" s="228"/>
      <c r="D112" s="228"/>
      <c r="E112" s="228"/>
      <c r="F112" s="228"/>
      <c r="G112" s="228"/>
      <c r="H112" s="214"/>
      <c r="I112" s="214"/>
      <c r="J112" s="214"/>
      <c r="K112" s="214"/>
      <c r="L112" s="214"/>
      <c r="M112" s="214"/>
      <c r="N112" s="214"/>
      <c r="O112" s="214"/>
    </row>
    <row r="113" ht="15.75" customHeight="1" spans="1:15" x14ac:dyDescent="0.25">
      <c r="A113" s="214"/>
      <c r="B113" s="227"/>
      <c r="C113" s="228"/>
      <c r="D113" s="228"/>
      <c r="E113" s="228"/>
      <c r="F113" s="228"/>
      <c r="G113" s="228"/>
      <c r="H113" s="214"/>
      <c r="I113" s="214"/>
      <c r="J113" s="214"/>
      <c r="K113" s="214"/>
      <c r="L113" s="214"/>
      <c r="M113" s="214"/>
      <c r="N113" s="214"/>
      <c r="O113" s="214"/>
    </row>
    <row r="114" ht="15.75" customHeight="1" spans="1:15" x14ac:dyDescent="0.25">
      <c r="A114" s="214"/>
      <c r="B114" s="227"/>
      <c r="C114" s="228"/>
      <c r="D114" s="228"/>
      <c r="E114" s="228"/>
      <c r="F114" s="228"/>
      <c r="G114" s="228"/>
      <c r="H114" s="214"/>
      <c r="I114" s="214"/>
      <c r="J114" s="214"/>
      <c r="K114" s="214"/>
      <c r="L114" s="214"/>
      <c r="M114" s="214"/>
      <c r="N114" s="214"/>
      <c r="O114" s="214"/>
    </row>
    <row r="115" ht="15.75" customHeight="1" spans="1:15" x14ac:dyDescent="0.25">
      <c r="A115" s="214"/>
      <c r="B115" s="227"/>
      <c r="C115" s="228"/>
      <c r="D115" s="228"/>
      <c r="E115" s="228"/>
      <c r="F115" s="228"/>
      <c r="G115" s="228"/>
      <c r="H115" s="214"/>
      <c r="I115" s="214"/>
      <c r="J115" s="214"/>
      <c r="K115" s="214"/>
      <c r="L115" s="214"/>
      <c r="M115" s="214"/>
      <c r="N115" s="214"/>
      <c r="O115" s="214"/>
    </row>
    <row r="116" ht="15.75" customHeight="1" spans="1:15" x14ac:dyDescent="0.25">
      <c r="A116" s="214"/>
      <c r="B116" s="227"/>
      <c r="C116" s="228"/>
      <c r="D116" s="228"/>
      <c r="E116" s="228"/>
      <c r="F116" s="228"/>
      <c r="G116" s="228"/>
      <c r="H116" s="214"/>
      <c r="I116" s="214"/>
      <c r="J116" s="214"/>
      <c r="K116" s="214"/>
      <c r="L116" s="214"/>
      <c r="M116" s="214"/>
      <c r="N116" s="214"/>
      <c r="O116" s="214"/>
    </row>
    <row r="117" ht="15.75" customHeight="1" spans="1:15" x14ac:dyDescent="0.25">
      <c r="A117" s="214"/>
      <c r="B117" s="227"/>
      <c r="C117" s="228"/>
      <c r="D117" s="228"/>
      <c r="E117" s="228"/>
      <c r="F117" s="228"/>
      <c r="G117" s="228"/>
      <c r="H117" s="214"/>
      <c r="I117" s="214"/>
      <c r="J117" s="214"/>
      <c r="K117" s="214"/>
      <c r="L117" s="214"/>
      <c r="M117" s="214"/>
      <c r="N117" s="214"/>
      <c r="O117" s="214"/>
    </row>
    <row r="118" ht="15.75" customHeight="1" spans="1:15" x14ac:dyDescent="0.25">
      <c r="A118" s="214"/>
      <c r="B118" s="227"/>
      <c r="C118" s="228"/>
      <c r="D118" s="228"/>
      <c r="E118" s="228"/>
      <c r="F118" s="228"/>
      <c r="G118" s="228"/>
      <c r="H118" s="214"/>
      <c r="I118" s="214"/>
      <c r="J118" s="214"/>
      <c r="K118" s="214"/>
      <c r="L118" s="214"/>
      <c r="M118" s="214"/>
      <c r="N118" s="214"/>
      <c r="O118" s="214"/>
    </row>
    <row r="119" ht="15.75" customHeight="1" spans="1:15" x14ac:dyDescent="0.25">
      <c r="A119" s="214"/>
      <c r="B119" s="227"/>
      <c r="C119" s="228"/>
      <c r="D119" s="228"/>
      <c r="E119" s="228"/>
      <c r="F119" s="228"/>
      <c r="G119" s="228"/>
      <c r="H119" s="214"/>
      <c r="I119" s="214"/>
      <c r="J119" s="214"/>
      <c r="K119" s="214"/>
      <c r="L119" s="214"/>
      <c r="M119" s="214"/>
      <c r="N119" s="214"/>
      <c r="O119" s="214"/>
    </row>
    <row r="120" ht="15.75" customHeight="1" spans="1:15" x14ac:dyDescent="0.25">
      <c r="A120" s="214"/>
      <c r="B120" s="227"/>
      <c r="C120" s="228"/>
      <c r="D120" s="228"/>
      <c r="E120" s="228"/>
      <c r="F120" s="228"/>
      <c r="G120" s="228"/>
      <c r="H120" s="214"/>
      <c r="I120" s="214"/>
      <c r="J120" s="214"/>
      <c r="K120" s="214"/>
      <c r="L120" s="214"/>
      <c r="M120" s="214"/>
      <c r="N120" s="214"/>
      <c r="O120" s="214"/>
    </row>
    <row r="121" ht="15.75" customHeight="1" spans="1:15" x14ac:dyDescent="0.25">
      <c r="A121" s="214"/>
      <c r="B121" s="227"/>
      <c r="C121" s="228"/>
      <c r="D121" s="228"/>
      <c r="E121" s="228"/>
      <c r="F121" s="228"/>
      <c r="G121" s="228"/>
      <c r="H121" s="214"/>
      <c r="I121" s="214"/>
      <c r="J121" s="214"/>
      <c r="K121" s="214"/>
      <c r="L121" s="214"/>
      <c r="M121" s="214"/>
      <c r="N121" s="214"/>
      <c r="O121" s="214"/>
    </row>
    <row r="122" ht="15.75" customHeight="1" spans="1:15" x14ac:dyDescent="0.25">
      <c r="A122" s="214"/>
      <c r="B122" s="227"/>
      <c r="C122" s="228"/>
      <c r="D122" s="228"/>
      <c r="E122" s="228"/>
      <c r="F122" s="228"/>
      <c r="G122" s="228"/>
      <c r="H122" s="214"/>
      <c r="I122" s="214"/>
      <c r="J122" s="214"/>
      <c r="K122" s="214"/>
      <c r="L122" s="214"/>
      <c r="M122" s="214"/>
      <c r="N122" s="214"/>
      <c r="O122" s="214"/>
    </row>
    <row r="123" ht="15.75" customHeight="1" spans="1:15" x14ac:dyDescent="0.25">
      <c r="A123" s="214"/>
      <c r="B123" s="227"/>
      <c r="C123" s="228"/>
      <c r="D123" s="228"/>
      <c r="E123" s="228"/>
      <c r="F123" s="228"/>
      <c r="G123" s="228"/>
      <c r="H123" s="214"/>
      <c r="I123" s="214"/>
      <c r="J123" s="214"/>
      <c r="K123" s="214"/>
      <c r="L123" s="214"/>
      <c r="M123" s="214"/>
      <c r="N123" s="214"/>
      <c r="O123" s="214"/>
    </row>
    <row r="124" ht="15.75" customHeight="1" spans="1:15" x14ac:dyDescent="0.25">
      <c r="A124" s="214"/>
      <c r="B124" s="227"/>
      <c r="C124" s="228"/>
      <c r="D124" s="228"/>
      <c r="E124" s="228"/>
      <c r="F124" s="228"/>
      <c r="G124" s="228"/>
      <c r="H124" s="214"/>
      <c r="I124" s="214"/>
      <c r="J124" s="214"/>
      <c r="K124" s="214"/>
      <c r="L124" s="214"/>
      <c r="M124" s="214"/>
      <c r="N124" s="214"/>
      <c r="O124" s="214"/>
    </row>
    <row r="125" ht="15.75" customHeight="1" spans="1:15" x14ac:dyDescent="0.25">
      <c r="A125" s="214"/>
      <c r="B125" s="227"/>
      <c r="C125" s="228"/>
      <c r="D125" s="228"/>
      <c r="E125" s="228"/>
      <c r="F125" s="228"/>
      <c r="G125" s="228"/>
      <c r="H125" s="214"/>
      <c r="I125" s="214"/>
      <c r="J125" s="214"/>
      <c r="K125" s="214"/>
      <c r="L125" s="214"/>
      <c r="M125" s="214"/>
      <c r="N125" s="214"/>
      <c r="O125" s="214"/>
    </row>
    <row r="126" ht="15.75" customHeight="1" spans="1:15" x14ac:dyDescent="0.25">
      <c r="A126" s="214"/>
      <c r="B126" s="227"/>
      <c r="C126" s="228"/>
      <c r="D126" s="228"/>
      <c r="E126" s="228"/>
      <c r="F126" s="228"/>
      <c r="G126" s="228"/>
      <c r="H126" s="214"/>
      <c r="I126" s="214"/>
      <c r="J126" s="214"/>
      <c r="K126" s="214"/>
      <c r="L126" s="214"/>
      <c r="M126" s="214"/>
      <c r="N126" s="214"/>
      <c r="O126" s="214"/>
    </row>
    <row r="127" ht="15.75" customHeight="1" spans="1:15" x14ac:dyDescent="0.25">
      <c r="A127" s="214"/>
      <c r="B127" s="227"/>
      <c r="C127" s="228"/>
      <c r="D127" s="228"/>
      <c r="E127" s="228"/>
      <c r="F127" s="228"/>
      <c r="G127" s="228"/>
      <c r="H127" s="214"/>
      <c r="I127" s="214"/>
      <c r="J127" s="214"/>
      <c r="K127" s="214"/>
      <c r="L127" s="214"/>
      <c r="M127" s="214"/>
      <c r="N127" s="214"/>
      <c r="O127" s="214"/>
    </row>
    <row r="128" ht="15.75" customHeight="1" spans="1:15" x14ac:dyDescent="0.25">
      <c r="A128" s="214"/>
      <c r="B128" s="227"/>
      <c r="C128" s="228"/>
      <c r="D128" s="228"/>
      <c r="E128" s="228"/>
      <c r="F128" s="228"/>
      <c r="G128" s="228"/>
      <c r="H128" s="214"/>
      <c r="I128" s="214"/>
      <c r="J128" s="214"/>
      <c r="K128" s="214"/>
      <c r="L128" s="214"/>
      <c r="M128" s="214"/>
      <c r="N128" s="214"/>
      <c r="O128" s="214"/>
    </row>
    <row r="129" ht="15.75" customHeight="1" spans="1:15" x14ac:dyDescent="0.25">
      <c r="A129" s="214"/>
      <c r="B129" s="227"/>
      <c r="C129" s="228"/>
      <c r="D129" s="228"/>
      <c r="E129" s="228"/>
      <c r="F129" s="228"/>
      <c r="G129" s="228"/>
      <c r="H129" s="214"/>
      <c r="I129" s="214"/>
      <c r="J129" s="214"/>
      <c r="K129" s="214"/>
      <c r="L129" s="214"/>
      <c r="M129" s="214"/>
      <c r="N129" s="214"/>
      <c r="O129" s="214"/>
    </row>
    <row r="130" ht="15.75" customHeight="1" spans="1:15" x14ac:dyDescent="0.25">
      <c r="A130" s="214"/>
      <c r="B130" s="227"/>
      <c r="C130" s="228"/>
      <c r="D130" s="228"/>
      <c r="E130" s="228"/>
      <c r="F130" s="228"/>
      <c r="G130" s="228"/>
      <c r="H130" s="214"/>
      <c r="I130" s="214"/>
      <c r="J130" s="214"/>
      <c r="K130" s="214"/>
      <c r="L130" s="214"/>
      <c r="M130" s="214"/>
      <c r="N130" s="214"/>
      <c r="O130" s="214"/>
    </row>
    <row r="131" ht="15.75" customHeight="1" spans="1:15" x14ac:dyDescent="0.25">
      <c r="A131" s="214"/>
      <c r="B131" s="227"/>
      <c r="C131" s="228"/>
      <c r="D131" s="228"/>
      <c r="E131" s="228"/>
      <c r="F131" s="228"/>
      <c r="G131" s="228"/>
      <c r="H131" s="214"/>
      <c r="I131" s="214"/>
      <c r="J131" s="214"/>
      <c r="K131" s="214"/>
      <c r="L131" s="214"/>
      <c r="M131" s="214"/>
      <c r="N131" s="214"/>
      <c r="O131" s="214"/>
    </row>
    <row r="132" ht="15.75" customHeight="1" spans="1:15" x14ac:dyDescent="0.25">
      <c r="A132" s="214"/>
      <c r="B132" s="227"/>
      <c r="C132" s="228"/>
      <c r="D132" s="228"/>
      <c r="E132" s="228"/>
      <c r="F132" s="228"/>
      <c r="G132" s="228"/>
      <c r="H132" s="214"/>
      <c r="I132" s="214"/>
      <c r="J132" s="214"/>
      <c r="K132" s="214"/>
      <c r="L132" s="214"/>
      <c r="M132" s="214"/>
      <c r="N132" s="214"/>
      <c r="O132" s="214"/>
    </row>
    <row r="133" ht="15.75" customHeight="1" spans="1:15" x14ac:dyDescent="0.25">
      <c r="A133" s="214"/>
      <c r="B133" s="227"/>
      <c r="C133" s="228"/>
      <c r="D133" s="228"/>
      <c r="E133" s="228"/>
      <c r="F133" s="228"/>
      <c r="G133" s="228"/>
      <c r="H133" s="214"/>
      <c r="I133" s="214"/>
      <c r="J133" s="214"/>
      <c r="K133" s="214"/>
      <c r="L133" s="214"/>
      <c r="M133" s="214"/>
      <c r="N133" s="214"/>
      <c r="O133" s="214"/>
    </row>
    <row r="134" ht="15.75" customHeight="1" spans="1:15" x14ac:dyDescent="0.25">
      <c r="A134" s="214"/>
      <c r="B134" s="227"/>
      <c r="C134" s="228"/>
      <c r="D134" s="228"/>
      <c r="E134" s="228"/>
      <c r="F134" s="228"/>
      <c r="G134" s="228"/>
      <c r="H134" s="214"/>
      <c r="I134" s="214"/>
      <c r="J134" s="214"/>
      <c r="K134" s="214"/>
      <c r="L134" s="214"/>
      <c r="M134" s="214"/>
      <c r="N134" s="214"/>
      <c r="O134" s="214"/>
    </row>
    <row r="135" ht="15.75" customHeight="1" spans="1:15" x14ac:dyDescent="0.25">
      <c r="A135" s="214"/>
      <c r="B135" s="227"/>
      <c r="C135" s="228"/>
      <c r="D135" s="228"/>
      <c r="E135" s="228"/>
      <c r="F135" s="228"/>
      <c r="G135" s="228"/>
      <c r="H135" s="214"/>
      <c r="I135" s="214"/>
      <c r="J135" s="214"/>
      <c r="K135" s="214"/>
      <c r="L135" s="214"/>
      <c r="M135" s="214"/>
      <c r="N135" s="214"/>
      <c r="O135" s="214"/>
    </row>
    <row r="136" ht="15.75" customHeight="1" spans="1:15" x14ac:dyDescent="0.25">
      <c r="A136" s="214"/>
      <c r="B136" s="227"/>
      <c r="C136" s="228"/>
      <c r="D136" s="228"/>
      <c r="E136" s="228"/>
      <c r="F136" s="228"/>
      <c r="G136" s="228"/>
      <c r="H136" s="214"/>
      <c r="I136" s="214"/>
      <c r="J136" s="214"/>
      <c r="K136" s="214"/>
      <c r="L136" s="214"/>
      <c r="M136" s="214"/>
      <c r="N136" s="214"/>
      <c r="O136" s="214"/>
    </row>
    <row r="137" ht="15.75" customHeight="1" spans="1:15" x14ac:dyDescent="0.25">
      <c r="A137" s="214"/>
      <c r="B137" s="227"/>
      <c r="C137" s="228"/>
      <c r="D137" s="228"/>
      <c r="E137" s="228"/>
      <c r="F137" s="228"/>
      <c r="G137" s="228"/>
      <c r="H137" s="214"/>
      <c r="I137" s="214"/>
      <c r="J137" s="214"/>
      <c r="K137" s="214"/>
      <c r="L137" s="214"/>
      <c r="M137" s="214"/>
      <c r="N137" s="214"/>
      <c r="O137" s="214"/>
    </row>
    <row r="138" ht="15.75" customHeight="1" spans="1:15" x14ac:dyDescent="0.25">
      <c r="A138" s="214"/>
      <c r="B138" s="227"/>
      <c r="C138" s="228"/>
      <c r="D138" s="228"/>
      <c r="E138" s="228"/>
      <c r="F138" s="228"/>
      <c r="G138" s="228"/>
      <c r="H138" s="214"/>
      <c r="I138" s="214"/>
      <c r="J138" s="214"/>
      <c r="K138" s="214"/>
      <c r="L138" s="214"/>
      <c r="M138" s="214"/>
      <c r="N138" s="214"/>
      <c r="O138" s="214"/>
    </row>
    <row r="139" ht="15.75" customHeight="1" spans="1:15" x14ac:dyDescent="0.25">
      <c r="A139" s="214"/>
      <c r="B139" s="227"/>
      <c r="C139" s="228"/>
      <c r="D139" s="228"/>
      <c r="E139" s="228"/>
      <c r="F139" s="228"/>
      <c r="G139" s="228"/>
      <c r="H139" s="214"/>
      <c r="I139" s="214"/>
      <c r="J139" s="214"/>
      <c r="K139" s="214"/>
      <c r="L139" s="214"/>
      <c r="M139" s="214"/>
      <c r="N139" s="214"/>
      <c r="O139" s="214"/>
    </row>
    <row r="140" ht="15.75" customHeight="1" spans="1:15" x14ac:dyDescent="0.25">
      <c r="A140" s="214"/>
      <c r="B140" s="227"/>
      <c r="C140" s="228"/>
      <c r="D140" s="228"/>
      <c r="E140" s="228"/>
      <c r="F140" s="228"/>
      <c r="G140" s="228"/>
      <c r="H140" s="214"/>
      <c r="I140" s="214"/>
      <c r="J140" s="214"/>
      <c r="K140" s="214"/>
      <c r="L140" s="214"/>
      <c r="M140" s="214"/>
      <c r="N140" s="214"/>
      <c r="O140" s="214"/>
    </row>
    <row r="141" ht="15.75" customHeight="1" spans="1:15" x14ac:dyDescent="0.25">
      <c r="A141" s="214"/>
      <c r="B141" s="227"/>
      <c r="C141" s="228"/>
      <c r="D141" s="228"/>
      <c r="E141" s="228"/>
      <c r="F141" s="228"/>
      <c r="G141" s="228"/>
      <c r="H141" s="214"/>
      <c r="I141" s="214"/>
      <c r="J141" s="214"/>
      <c r="K141" s="214"/>
      <c r="L141" s="214"/>
      <c r="M141" s="214"/>
      <c r="N141" s="214"/>
      <c r="O141" s="214"/>
    </row>
    <row r="142" ht="15.75" customHeight="1" spans="1:15" x14ac:dyDescent="0.25">
      <c r="A142" s="214"/>
      <c r="B142" s="227"/>
      <c r="C142" s="228"/>
      <c r="D142" s="228"/>
      <c r="E142" s="228"/>
      <c r="F142" s="228"/>
      <c r="G142" s="228"/>
      <c r="H142" s="214"/>
      <c r="I142" s="214"/>
      <c r="J142" s="214"/>
      <c r="K142" s="214"/>
      <c r="L142" s="214"/>
      <c r="M142" s="214"/>
      <c r="N142" s="214"/>
      <c r="O142" s="214"/>
    </row>
    <row r="143" ht="15.75" customHeight="1" spans="1:15" x14ac:dyDescent="0.25">
      <c r="A143" s="214"/>
      <c r="B143" s="227"/>
      <c r="C143" s="228"/>
      <c r="D143" s="228"/>
      <c r="E143" s="228"/>
      <c r="F143" s="228"/>
      <c r="G143" s="228"/>
      <c r="H143" s="214"/>
      <c r="I143" s="214"/>
      <c r="J143" s="214"/>
      <c r="K143" s="214"/>
      <c r="L143" s="214"/>
      <c r="M143" s="214"/>
      <c r="N143" s="214"/>
      <c r="O143" s="214"/>
    </row>
    <row r="144" ht="15.75" customHeight="1" spans="1:15" x14ac:dyDescent="0.25">
      <c r="A144" s="214"/>
      <c r="B144" s="227"/>
      <c r="C144" s="228"/>
      <c r="D144" s="228"/>
      <c r="E144" s="228"/>
      <c r="F144" s="228"/>
      <c r="G144" s="228"/>
      <c r="H144" s="214"/>
      <c r="I144" s="214"/>
      <c r="J144" s="214"/>
      <c r="K144" s="214"/>
      <c r="L144" s="214"/>
      <c r="M144" s="214"/>
      <c r="N144" s="214"/>
      <c r="O144" s="214"/>
    </row>
    <row r="145" ht="15.75" customHeight="1" spans="1:15" x14ac:dyDescent="0.25">
      <c r="A145" s="214"/>
      <c r="B145" s="227"/>
      <c r="C145" s="228"/>
      <c r="D145" s="228"/>
      <c r="E145" s="228"/>
      <c r="F145" s="228"/>
      <c r="G145" s="228"/>
      <c r="H145" s="214"/>
      <c r="I145" s="214"/>
      <c r="J145" s="214"/>
      <c r="K145" s="214"/>
      <c r="L145" s="214"/>
      <c r="M145" s="214"/>
      <c r="N145" s="214"/>
      <c r="O145" s="214"/>
    </row>
    <row r="146" ht="15.75" customHeight="1" spans="1:15" x14ac:dyDescent="0.25">
      <c r="A146" s="214"/>
      <c r="B146" s="227"/>
      <c r="C146" s="228"/>
      <c r="D146" s="228"/>
      <c r="E146" s="228"/>
      <c r="F146" s="228"/>
      <c r="G146" s="228"/>
      <c r="H146" s="214"/>
      <c r="I146" s="214"/>
      <c r="J146" s="214"/>
      <c r="K146" s="214"/>
      <c r="L146" s="214"/>
      <c r="M146" s="214"/>
      <c r="N146" s="214"/>
      <c r="O146" s="214"/>
    </row>
    <row r="147" ht="15.75" customHeight="1" spans="1:15" x14ac:dyDescent="0.25">
      <c r="A147" s="214"/>
      <c r="B147" s="227"/>
      <c r="C147" s="228"/>
      <c r="D147" s="228"/>
      <c r="E147" s="228"/>
      <c r="F147" s="228"/>
      <c r="G147" s="228"/>
      <c r="H147" s="214"/>
      <c r="I147" s="214"/>
      <c r="J147" s="214"/>
      <c r="K147" s="214"/>
      <c r="L147" s="214"/>
      <c r="M147" s="214"/>
      <c r="N147" s="214"/>
      <c r="O147" s="214"/>
    </row>
    <row r="148" ht="15.75" customHeight="1" spans="1:15" x14ac:dyDescent="0.25">
      <c r="A148" s="214"/>
      <c r="B148" s="227"/>
      <c r="C148" s="228"/>
      <c r="D148" s="228"/>
      <c r="E148" s="228"/>
      <c r="F148" s="228"/>
      <c r="G148" s="228"/>
      <c r="H148" s="214"/>
      <c r="I148" s="214"/>
      <c r="J148" s="214"/>
      <c r="K148" s="214"/>
      <c r="L148" s="214"/>
      <c r="M148" s="214"/>
      <c r="N148" s="214"/>
      <c r="O148" s="214"/>
    </row>
    <row r="149" ht="15.75" customHeight="1" spans="1:15" x14ac:dyDescent="0.25">
      <c r="A149" s="214"/>
      <c r="B149" s="227"/>
      <c r="C149" s="228"/>
      <c r="D149" s="228"/>
      <c r="E149" s="228"/>
      <c r="F149" s="228"/>
      <c r="G149" s="228"/>
      <c r="H149" s="214"/>
      <c r="I149" s="214"/>
      <c r="J149" s="214"/>
      <c r="K149" s="214"/>
      <c r="L149" s="214"/>
      <c r="M149" s="214"/>
      <c r="N149" s="214"/>
      <c r="O149" s="214"/>
    </row>
    <row r="150" ht="15.75" customHeight="1" spans="1:15" x14ac:dyDescent="0.25">
      <c r="A150" s="214"/>
      <c r="B150" s="227"/>
      <c r="C150" s="228"/>
      <c r="D150" s="228"/>
      <c r="E150" s="228"/>
      <c r="F150" s="228"/>
      <c r="G150" s="228"/>
      <c r="H150" s="214"/>
      <c r="I150" s="214"/>
      <c r="J150" s="214"/>
      <c r="K150" s="214"/>
      <c r="L150" s="214"/>
      <c r="M150" s="214"/>
      <c r="N150" s="214"/>
      <c r="O150" s="214"/>
    </row>
    <row r="151" ht="15.75" customHeight="1" spans="1:15" x14ac:dyDescent="0.25">
      <c r="A151" s="214"/>
      <c r="B151" s="227"/>
      <c r="C151" s="228"/>
      <c r="D151" s="228"/>
      <c r="E151" s="228"/>
      <c r="F151" s="228"/>
      <c r="G151" s="228"/>
      <c r="H151" s="214"/>
      <c r="I151" s="214"/>
      <c r="J151" s="214"/>
      <c r="K151" s="214"/>
      <c r="L151" s="214"/>
      <c r="M151" s="214"/>
      <c r="N151" s="214"/>
      <c r="O151" s="214"/>
    </row>
    <row r="152" ht="15.75" customHeight="1" spans="1:15" x14ac:dyDescent="0.25">
      <c r="A152" s="214"/>
      <c r="B152" s="227"/>
      <c r="C152" s="228"/>
      <c r="D152" s="228"/>
      <c r="E152" s="228"/>
      <c r="F152" s="228"/>
      <c r="G152" s="228"/>
      <c r="H152" s="214"/>
      <c r="I152" s="214"/>
      <c r="J152" s="214"/>
      <c r="K152" s="214"/>
      <c r="L152" s="214"/>
      <c r="M152" s="214"/>
      <c r="N152" s="214"/>
      <c r="O152" s="214"/>
    </row>
    <row r="153" ht="15.75" customHeight="1" spans="1:15" x14ac:dyDescent="0.25">
      <c r="A153" s="214"/>
      <c r="B153" s="227"/>
      <c r="C153" s="228"/>
      <c r="D153" s="228"/>
      <c r="E153" s="228"/>
      <c r="F153" s="228"/>
      <c r="G153" s="228"/>
      <c r="H153" s="214"/>
      <c r="I153" s="214"/>
      <c r="J153" s="214"/>
      <c r="K153" s="214"/>
      <c r="L153" s="214"/>
      <c r="M153" s="214"/>
      <c r="N153" s="214"/>
      <c r="O153" s="214"/>
    </row>
    <row r="154" ht="15.75" customHeight="1" spans="1:15" x14ac:dyDescent="0.25">
      <c r="A154" s="214"/>
      <c r="B154" s="227"/>
      <c r="C154" s="228"/>
      <c r="D154" s="228"/>
      <c r="E154" s="228"/>
      <c r="F154" s="228"/>
      <c r="G154" s="228"/>
      <c r="H154" s="214"/>
      <c r="I154" s="214"/>
      <c r="J154" s="214"/>
      <c r="K154" s="214"/>
      <c r="L154" s="214"/>
      <c r="M154" s="214"/>
      <c r="N154" s="214"/>
      <c r="O154" s="214"/>
    </row>
    <row r="155" ht="15.75" customHeight="1" spans="1:15" x14ac:dyDescent="0.25">
      <c r="A155" s="214"/>
      <c r="B155" s="227"/>
      <c r="C155" s="228"/>
      <c r="D155" s="228"/>
      <c r="E155" s="228"/>
      <c r="F155" s="228"/>
      <c r="G155" s="228"/>
      <c r="H155" s="214"/>
      <c r="I155" s="214"/>
      <c r="J155" s="214"/>
      <c r="K155" s="214"/>
      <c r="L155" s="214"/>
      <c r="M155" s="214"/>
      <c r="N155" s="214"/>
      <c r="O155" s="214"/>
    </row>
    <row r="156" ht="15.75" customHeight="1" spans="1:15" x14ac:dyDescent="0.25">
      <c r="A156" s="214"/>
      <c r="B156" s="227"/>
      <c r="C156" s="228"/>
      <c r="D156" s="228"/>
      <c r="E156" s="228"/>
      <c r="F156" s="228"/>
      <c r="G156" s="228"/>
      <c r="H156" s="214"/>
      <c r="I156" s="214"/>
      <c r="J156" s="214"/>
      <c r="K156" s="214"/>
      <c r="L156" s="214"/>
      <c r="M156" s="214"/>
      <c r="N156" s="214"/>
      <c r="O156" s="214"/>
    </row>
    <row r="157" ht="15.75" customHeight="1" spans="1:15" x14ac:dyDescent="0.25">
      <c r="A157" s="214"/>
      <c r="B157" s="227"/>
      <c r="C157" s="228"/>
      <c r="D157" s="228"/>
      <c r="E157" s="228"/>
      <c r="F157" s="228"/>
      <c r="G157" s="228"/>
      <c r="H157" s="214"/>
      <c r="I157" s="214"/>
      <c r="J157" s="214"/>
      <c r="K157" s="214"/>
      <c r="L157" s="214"/>
      <c r="M157" s="214"/>
      <c r="N157" s="214"/>
      <c r="O157" s="214"/>
    </row>
    <row r="158" ht="15.75" customHeight="1" spans="1:15" x14ac:dyDescent="0.25">
      <c r="A158" s="214"/>
      <c r="B158" s="227"/>
      <c r="C158" s="228"/>
      <c r="D158" s="228"/>
      <c r="E158" s="228"/>
      <c r="F158" s="228"/>
      <c r="G158" s="228"/>
      <c r="H158" s="214"/>
      <c r="I158" s="214"/>
      <c r="J158" s="214"/>
      <c r="K158" s="214"/>
      <c r="L158" s="214"/>
      <c r="M158" s="214"/>
      <c r="N158" s="214"/>
      <c r="O158" s="214"/>
    </row>
    <row r="159" ht="15.75" customHeight="1" spans="1:15" x14ac:dyDescent="0.25">
      <c r="A159" s="214"/>
      <c r="B159" s="227"/>
      <c r="C159" s="228"/>
      <c r="D159" s="228"/>
      <c r="E159" s="228"/>
      <c r="F159" s="228"/>
      <c r="G159" s="228"/>
      <c r="H159" s="214"/>
      <c r="I159" s="214"/>
      <c r="J159" s="214"/>
      <c r="K159" s="214"/>
      <c r="L159" s="214"/>
      <c r="M159" s="214"/>
      <c r="N159" s="214"/>
      <c r="O159" s="214"/>
    </row>
    <row r="160" ht="15.75" customHeight="1" spans="1:15" x14ac:dyDescent="0.25">
      <c r="A160" s="214"/>
      <c r="B160" s="227"/>
      <c r="C160" s="228"/>
      <c r="D160" s="228"/>
      <c r="E160" s="228"/>
      <c r="F160" s="228"/>
      <c r="G160" s="228"/>
      <c r="H160" s="214"/>
      <c r="I160" s="214"/>
      <c r="J160" s="214"/>
      <c r="K160" s="214"/>
      <c r="L160" s="214"/>
      <c r="M160" s="214"/>
      <c r="N160" s="214"/>
      <c r="O160" s="214"/>
    </row>
    <row r="161" ht="15.75" customHeight="1" spans="1:15" x14ac:dyDescent="0.25">
      <c r="A161" s="214"/>
      <c r="B161" s="227"/>
      <c r="C161" s="228"/>
      <c r="D161" s="228"/>
      <c r="E161" s="228"/>
      <c r="F161" s="228"/>
      <c r="G161" s="228"/>
      <c r="H161" s="214"/>
      <c r="I161" s="214"/>
      <c r="J161" s="214"/>
      <c r="K161" s="214"/>
      <c r="L161" s="214"/>
      <c r="M161" s="214"/>
      <c r="N161" s="214"/>
      <c r="O161" s="214"/>
    </row>
    <row r="162" ht="15.75" customHeight="1" spans="1:15" x14ac:dyDescent="0.25">
      <c r="A162" s="214"/>
      <c r="B162" s="227"/>
      <c r="C162" s="228"/>
      <c r="D162" s="228"/>
      <c r="E162" s="228"/>
      <c r="F162" s="228"/>
      <c r="G162" s="228"/>
      <c r="H162" s="214"/>
      <c r="I162" s="214"/>
      <c r="J162" s="214"/>
      <c r="K162" s="214"/>
      <c r="L162" s="214"/>
      <c r="M162" s="214"/>
      <c r="N162" s="214"/>
      <c r="O162" s="214"/>
    </row>
    <row r="163" ht="15.75" customHeight="1" spans="1:15" x14ac:dyDescent="0.25">
      <c r="A163" s="214"/>
      <c r="B163" s="227"/>
      <c r="C163" s="228"/>
      <c r="D163" s="228"/>
      <c r="E163" s="228"/>
      <c r="F163" s="228"/>
      <c r="G163" s="228"/>
      <c r="H163" s="214"/>
      <c r="I163" s="214"/>
      <c r="J163" s="214"/>
      <c r="K163" s="214"/>
      <c r="L163" s="214"/>
      <c r="M163" s="214"/>
      <c r="N163" s="214"/>
      <c r="O163" s="214"/>
    </row>
    <row r="164" ht="15.75" customHeight="1" spans="1:15" x14ac:dyDescent="0.25">
      <c r="A164" s="214"/>
      <c r="B164" s="227"/>
      <c r="C164" s="228"/>
      <c r="D164" s="228"/>
      <c r="E164" s="228"/>
      <c r="F164" s="228"/>
      <c r="G164" s="228"/>
      <c r="H164" s="214"/>
      <c r="I164" s="214"/>
      <c r="J164" s="214"/>
      <c r="K164" s="214"/>
      <c r="L164" s="214"/>
      <c r="M164" s="214"/>
      <c r="N164" s="214"/>
      <c r="O164" s="214"/>
    </row>
    <row r="165" ht="15.75" customHeight="1" spans="1:15" x14ac:dyDescent="0.25">
      <c r="A165" s="214"/>
      <c r="B165" s="227"/>
      <c r="C165" s="228"/>
      <c r="D165" s="228"/>
      <c r="E165" s="228"/>
      <c r="F165" s="228"/>
      <c r="G165" s="228"/>
      <c r="H165" s="214"/>
      <c r="I165" s="214"/>
      <c r="J165" s="214"/>
      <c r="K165" s="214"/>
      <c r="L165" s="214"/>
      <c r="M165" s="214"/>
      <c r="N165" s="214"/>
      <c r="O165" s="214"/>
    </row>
    <row r="166" ht="15.75" customHeight="1" spans="1:15" x14ac:dyDescent="0.25">
      <c r="A166" s="214"/>
      <c r="B166" s="227"/>
      <c r="C166" s="228"/>
      <c r="D166" s="228"/>
      <c r="E166" s="228"/>
      <c r="F166" s="228"/>
      <c r="G166" s="228"/>
      <c r="H166" s="214"/>
      <c r="I166" s="214"/>
      <c r="J166" s="214"/>
      <c r="K166" s="214"/>
      <c r="L166" s="214"/>
      <c r="M166" s="214"/>
      <c r="N166" s="214"/>
      <c r="O166" s="214"/>
    </row>
    <row r="167" ht="15.75" customHeight="1" spans="1:15" x14ac:dyDescent="0.25">
      <c r="A167" s="214"/>
      <c r="B167" s="227"/>
      <c r="C167" s="228"/>
      <c r="D167" s="228"/>
      <c r="E167" s="228"/>
      <c r="F167" s="228"/>
      <c r="G167" s="228"/>
      <c r="H167" s="214"/>
      <c r="I167" s="214"/>
      <c r="J167" s="214"/>
      <c r="K167" s="214"/>
      <c r="L167" s="214"/>
      <c r="M167" s="214"/>
      <c r="N167" s="214"/>
      <c r="O167" s="214"/>
    </row>
    <row r="168" ht="15.75" customHeight="1" spans="1:15" x14ac:dyDescent="0.25">
      <c r="A168" s="214"/>
      <c r="B168" s="227"/>
      <c r="C168" s="228"/>
      <c r="D168" s="228"/>
      <c r="E168" s="228"/>
      <c r="F168" s="228"/>
      <c r="G168" s="228"/>
      <c r="H168" s="214"/>
      <c r="I168" s="214"/>
      <c r="J168" s="214"/>
      <c r="K168" s="214"/>
      <c r="L168" s="214"/>
      <c r="M168" s="214"/>
      <c r="N168" s="214"/>
      <c r="O168" s="214"/>
    </row>
    <row r="169" ht="15.75" customHeight="1" spans="1:15" x14ac:dyDescent="0.25">
      <c r="A169" s="214"/>
      <c r="B169" s="227"/>
      <c r="C169" s="228"/>
      <c r="D169" s="228"/>
      <c r="E169" s="228"/>
      <c r="F169" s="228"/>
      <c r="G169" s="228"/>
      <c r="H169" s="214"/>
      <c r="I169" s="214"/>
      <c r="J169" s="214"/>
      <c r="K169" s="214"/>
      <c r="L169" s="214"/>
      <c r="M169" s="214"/>
      <c r="N169" s="214"/>
      <c r="O169" s="214"/>
    </row>
    <row r="170" ht="15.75" customHeight="1" spans="1:15" x14ac:dyDescent="0.25">
      <c r="A170" s="214"/>
      <c r="B170" s="227"/>
      <c r="C170" s="228"/>
      <c r="D170" s="228"/>
      <c r="E170" s="228"/>
      <c r="F170" s="228"/>
      <c r="G170" s="228"/>
      <c r="H170" s="214"/>
      <c r="I170" s="214"/>
      <c r="J170" s="214"/>
      <c r="K170" s="214"/>
      <c r="L170" s="214"/>
      <c r="M170" s="214"/>
      <c r="N170" s="214"/>
      <c r="O170" s="214"/>
    </row>
    <row r="171" ht="15.75" customHeight="1" spans="1:15" x14ac:dyDescent="0.25">
      <c r="A171" s="214"/>
      <c r="B171" s="227"/>
      <c r="C171" s="228"/>
      <c r="D171" s="228"/>
      <c r="E171" s="228"/>
      <c r="F171" s="228"/>
      <c r="G171" s="228"/>
      <c r="H171" s="214"/>
      <c r="I171" s="214"/>
      <c r="J171" s="214"/>
      <c r="K171" s="214"/>
      <c r="L171" s="214"/>
      <c r="M171" s="214"/>
      <c r="N171" s="214"/>
      <c r="O171" s="214"/>
    </row>
    <row r="172" ht="15.75" customHeight="1" spans="1:15" x14ac:dyDescent="0.25">
      <c r="A172" s="214"/>
      <c r="B172" s="227"/>
      <c r="C172" s="228"/>
      <c r="D172" s="228"/>
      <c r="E172" s="228"/>
      <c r="F172" s="228"/>
      <c r="G172" s="228"/>
      <c r="H172" s="214"/>
      <c r="I172" s="214"/>
      <c r="J172" s="214"/>
      <c r="K172" s="214"/>
      <c r="L172" s="214"/>
      <c r="M172" s="214"/>
      <c r="N172" s="214"/>
      <c r="O172" s="214"/>
    </row>
    <row r="173" ht="15.75" customHeight="1" spans="1:15" x14ac:dyDescent="0.25">
      <c r="A173" s="214"/>
      <c r="B173" s="227"/>
      <c r="C173" s="228"/>
      <c r="D173" s="228"/>
      <c r="E173" s="228"/>
      <c r="F173" s="228"/>
      <c r="G173" s="228"/>
      <c r="H173" s="214"/>
      <c r="I173" s="214"/>
      <c r="J173" s="214"/>
      <c r="K173" s="214"/>
      <c r="L173" s="214"/>
      <c r="M173" s="214"/>
      <c r="N173" s="214"/>
      <c r="O173" s="214"/>
    </row>
    <row r="174" ht="15.75" customHeight="1" spans="1:15" x14ac:dyDescent="0.25">
      <c r="A174" s="214"/>
      <c r="B174" s="227"/>
      <c r="C174" s="228"/>
      <c r="D174" s="228"/>
      <c r="E174" s="228"/>
      <c r="F174" s="228"/>
      <c r="G174" s="228"/>
      <c r="H174" s="214"/>
      <c r="I174" s="214"/>
      <c r="J174" s="214"/>
      <c r="K174" s="214"/>
      <c r="L174" s="214"/>
      <c r="M174" s="214"/>
      <c r="N174" s="214"/>
      <c r="O174" s="214"/>
    </row>
    <row r="175" ht="15.75" customHeight="1" spans="1:15" x14ac:dyDescent="0.25">
      <c r="A175" s="214"/>
      <c r="B175" s="227"/>
      <c r="C175" s="228"/>
      <c r="D175" s="228"/>
      <c r="E175" s="228"/>
      <c r="F175" s="228"/>
      <c r="G175" s="228"/>
      <c r="H175" s="214"/>
      <c r="I175" s="214"/>
      <c r="J175" s="214"/>
      <c r="K175" s="214"/>
      <c r="L175" s="214"/>
      <c r="M175" s="214"/>
      <c r="N175" s="214"/>
      <c r="O175" s="214"/>
    </row>
    <row r="176" ht="15.75" customHeight="1" spans="1:15" x14ac:dyDescent="0.25">
      <c r="A176" s="214"/>
      <c r="B176" s="227"/>
      <c r="C176" s="228"/>
      <c r="D176" s="228"/>
      <c r="E176" s="228"/>
      <c r="F176" s="228"/>
      <c r="G176" s="228"/>
      <c r="H176" s="214"/>
      <c r="I176" s="214"/>
      <c r="J176" s="214"/>
      <c r="K176" s="214"/>
      <c r="L176" s="214"/>
      <c r="M176" s="214"/>
      <c r="N176" s="214"/>
      <c r="O176" s="214"/>
    </row>
    <row r="177" ht="15.75" customHeight="1" spans="1:15" x14ac:dyDescent="0.25">
      <c r="A177" s="214"/>
      <c r="B177" s="227"/>
      <c r="C177" s="228"/>
      <c r="D177" s="228"/>
      <c r="E177" s="228"/>
      <c r="F177" s="228"/>
      <c r="G177" s="228"/>
      <c r="H177" s="214"/>
      <c r="I177" s="214"/>
      <c r="J177" s="214"/>
      <c r="K177" s="214"/>
      <c r="L177" s="214"/>
      <c r="M177" s="214"/>
      <c r="N177" s="214"/>
      <c r="O177" s="214"/>
    </row>
    <row r="178" ht="15.75" customHeight="1" spans="1:15" x14ac:dyDescent="0.25">
      <c r="A178" s="214"/>
      <c r="B178" s="227"/>
      <c r="C178" s="228"/>
      <c r="D178" s="228"/>
      <c r="E178" s="228"/>
      <c r="F178" s="228"/>
      <c r="G178" s="228"/>
      <c r="H178" s="214"/>
      <c r="I178" s="214"/>
      <c r="J178" s="214"/>
      <c r="K178" s="214"/>
      <c r="L178" s="214"/>
      <c r="M178" s="214"/>
      <c r="N178" s="214"/>
      <c r="O178" s="214"/>
    </row>
    <row r="179" ht="15.75" customHeight="1" spans="1:15" x14ac:dyDescent="0.25">
      <c r="A179" s="214"/>
      <c r="B179" s="227"/>
      <c r="C179" s="228"/>
      <c r="D179" s="228"/>
      <c r="E179" s="228"/>
      <c r="F179" s="228"/>
      <c r="G179" s="228"/>
      <c r="H179" s="214"/>
      <c r="I179" s="214"/>
      <c r="J179" s="214"/>
      <c r="K179" s="214"/>
      <c r="L179" s="214"/>
      <c r="M179" s="214"/>
      <c r="N179" s="214"/>
      <c r="O179" s="214"/>
    </row>
    <row r="180" ht="15.75" customHeight="1" spans="1:15" x14ac:dyDescent="0.25">
      <c r="A180" s="214"/>
      <c r="B180" s="227"/>
      <c r="C180" s="228"/>
      <c r="D180" s="228"/>
      <c r="E180" s="228"/>
      <c r="F180" s="228"/>
      <c r="G180" s="228"/>
      <c r="H180" s="214"/>
      <c r="I180" s="214"/>
      <c r="J180" s="214"/>
      <c r="K180" s="214"/>
      <c r="L180" s="214"/>
      <c r="M180" s="214"/>
      <c r="N180" s="214"/>
      <c r="O180" s="214"/>
    </row>
    <row r="181" ht="15.75" customHeight="1" spans="1:15" x14ac:dyDescent="0.25">
      <c r="A181" s="214"/>
      <c r="B181" s="227"/>
      <c r="C181" s="228"/>
      <c r="D181" s="228"/>
      <c r="E181" s="228"/>
      <c r="F181" s="228"/>
      <c r="G181" s="228"/>
      <c r="H181" s="214"/>
      <c r="I181" s="214"/>
      <c r="J181" s="214"/>
      <c r="K181" s="214"/>
      <c r="L181" s="214"/>
      <c r="M181" s="214"/>
      <c r="N181" s="214"/>
      <c r="O181" s="214"/>
    </row>
    <row r="182" ht="15.75" customHeight="1" spans="1:15" x14ac:dyDescent="0.25">
      <c r="A182" s="214"/>
      <c r="B182" s="227"/>
      <c r="C182" s="228"/>
      <c r="D182" s="228"/>
      <c r="E182" s="228"/>
      <c r="F182" s="228"/>
      <c r="G182" s="228"/>
      <c r="H182" s="214"/>
      <c r="I182" s="214"/>
      <c r="J182" s="214"/>
      <c r="K182" s="214"/>
      <c r="L182" s="214"/>
      <c r="M182" s="214"/>
      <c r="N182" s="214"/>
      <c r="O182" s="214"/>
    </row>
    <row r="183" ht="15.75" customHeight="1" spans="1:15" x14ac:dyDescent="0.25">
      <c r="A183" s="214"/>
      <c r="B183" s="227"/>
      <c r="C183" s="228"/>
      <c r="D183" s="228"/>
      <c r="E183" s="228"/>
      <c r="F183" s="228"/>
      <c r="G183" s="228"/>
      <c r="H183" s="214"/>
      <c r="I183" s="214"/>
      <c r="J183" s="214"/>
      <c r="K183" s="214"/>
      <c r="L183" s="214"/>
      <c r="M183" s="214"/>
      <c r="N183" s="214"/>
      <c r="O183" s="214"/>
    </row>
    <row r="184" ht="15.75" customHeight="1" spans="1:15" x14ac:dyDescent="0.25">
      <c r="A184" s="214"/>
      <c r="B184" s="227"/>
      <c r="C184" s="228"/>
      <c r="D184" s="228"/>
      <c r="E184" s="228"/>
      <c r="F184" s="228"/>
      <c r="G184" s="228"/>
      <c r="H184" s="214"/>
      <c r="I184" s="214"/>
      <c r="J184" s="214"/>
      <c r="K184" s="214"/>
      <c r="L184" s="214"/>
      <c r="M184" s="214"/>
      <c r="N184" s="214"/>
      <c r="O184" s="214"/>
    </row>
    <row r="185" ht="15.75" customHeight="1" spans="1:15" x14ac:dyDescent="0.25">
      <c r="A185" s="214"/>
      <c r="B185" s="227"/>
      <c r="C185" s="228"/>
      <c r="D185" s="228"/>
      <c r="E185" s="228"/>
      <c r="F185" s="228"/>
      <c r="G185" s="228"/>
      <c r="H185" s="214"/>
      <c r="I185" s="214"/>
      <c r="J185" s="214"/>
      <c r="K185" s="214"/>
      <c r="L185" s="214"/>
      <c r="M185" s="214"/>
      <c r="N185" s="214"/>
      <c r="O185" s="214"/>
    </row>
    <row r="186" ht="15.75" customHeight="1" spans="1:15" x14ac:dyDescent="0.25">
      <c r="A186" s="214"/>
      <c r="B186" s="227"/>
      <c r="C186" s="228"/>
      <c r="D186" s="228"/>
      <c r="E186" s="228"/>
      <c r="F186" s="228"/>
      <c r="G186" s="228"/>
      <c r="H186" s="214"/>
      <c r="I186" s="214"/>
      <c r="J186" s="214"/>
      <c r="K186" s="214"/>
      <c r="L186" s="214"/>
      <c r="M186" s="214"/>
      <c r="N186" s="214"/>
      <c r="O186" s="214"/>
    </row>
    <row r="187" ht="15.75" customHeight="1" spans="1:15" x14ac:dyDescent="0.25">
      <c r="A187" s="214"/>
      <c r="B187" s="227"/>
      <c r="C187" s="228"/>
      <c r="D187" s="228"/>
      <c r="E187" s="228"/>
      <c r="F187" s="228"/>
      <c r="G187" s="228"/>
      <c r="H187" s="214"/>
      <c r="I187" s="214"/>
      <c r="J187" s="214"/>
      <c r="K187" s="214"/>
      <c r="L187" s="214"/>
      <c r="M187" s="214"/>
      <c r="N187" s="214"/>
      <c r="O187" s="214"/>
    </row>
    <row r="188" ht="15.75" customHeight="1" spans="1:15" x14ac:dyDescent="0.25">
      <c r="A188" s="214"/>
      <c r="B188" s="227"/>
      <c r="C188" s="228"/>
      <c r="D188" s="228"/>
      <c r="E188" s="228"/>
      <c r="F188" s="228"/>
      <c r="G188" s="228"/>
      <c r="H188" s="214"/>
      <c r="I188" s="214"/>
      <c r="J188" s="214"/>
      <c r="K188" s="214"/>
      <c r="L188" s="214"/>
      <c r="M188" s="214"/>
      <c r="N188" s="214"/>
      <c r="O188" s="214"/>
    </row>
    <row r="189" ht="15.75" customHeight="1" spans="1:15" x14ac:dyDescent="0.25">
      <c r="A189" s="214"/>
      <c r="B189" s="227"/>
      <c r="C189" s="228"/>
      <c r="D189" s="228"/>
      <c r="E189" s="228"/>
      <c r="F189" s="228"/>
      <c r="G189" s="228"/>
      <c r="H189" s="214"/>
      <c r="I189" s="214"/>
      <c r="J189" s="214"/>
      <c r="K189" s="214"/>
      <c r="L189" s="214"/>
      <c r="M189" s="214"/>
      <c r="N189" s="214"/>
      <c r="O189" s="214"/>
    </row>
    <row r="190" ht="15.75" customHeight="1" spans="1:15" x14ac:dyDescent="0.25">
      <c r="A190" s="214"/>
      <c r="B190" s="227"/>
      <c r="C190" s="228"/>
      <c r="D190" s="228"/>
      <c r="E190" s="228"/>
      <c r="F190" s="228"/>
      <c r="G190" s="228"/>
      <c r="H190" s="214"/>
      <c r="I190" s="214"/>
      <c r="J190" s="214"/>
      <c r="K190" s="214"/>
      <c r="L190" s="214"/>
      <c r="M190" s="214"/>
      <c r="N190" s="214"/>
      <c r="O190" s="214"/>
    </row>
    <row r="191" ht="15.75" customHeight="1" spans="1:15" x14ac:dyDescent="0.25">
      <c r="A191" s="214"/>
      <c r="B191" s="227"/>
      <c r="C191" s="228"/>
      <c r="D191" s="228"/>
      <c r="E191" s="228"/>
      <c r="F191" s="228"/>
      <c r="G191" s="228"/>
      <c r="H191" s="214"/>
      <c r="I191" s="214"/>
      <c r="J191" s="214"/>
      <c r="K191" s="214"/>
      <c r="L191" s="214"/>
      <c r="M191" s="214"/>
      <c r="N191" s="214"/>
      <c r="O191" s="214"/>
    </row>
    <row r="192" ht="15.75" customHeight="1" spans="1:15" x14ac:dyDescent="0.25">
      <c r="A192" s="214"/>
      <c r="B192" s="227"/>
      <c r="C192" s="228"/>
      <c r="D192" s="228"/>
      <c r="E192" s="228"/>
      <c r="F192" s="228"/>
      <c r="G192" s="228"/>
      <c r="H192" s="214"/>
      <c r="I192" s="214"/>
      <c r="J192" s="214"/>
      <c r="K192" s="214"/>
      <c r="L192" s="214"/>
      <c r="M192" s="214"/>
      <c r="N192" s="214"/>
      <c r="O192" s="214"/>
    </row>
    <row r="193" ht="15.75" customHeight="1" spans="1:15" x14ac:dyDescent="0.25">
      <c r="A193" s="214"/>
      <c r="B193" s="227"/>
      <c r="C193" s="228"/>
      <c r="D193" s="228"/>
      <c r="E193" s="228"/>
      <c r="F193" s="228"/>
      <c r="G193" s="228"/>
      <c r="H193" s="214"/>
      <c r="I193" s="214"/>
      <c r="J193" s="214"/>
      <c r="K193" s="214"/>
      <c r="L193" s="214"/>
      <c r="M193" s="214"/>
      <c r="N193" s="214"/>
      <c r="O193" s="214"/>
    </row>
    <row r="194" ht="15.75" customHeight="1" spans="1:15" x14ac:dyDescent="0.25">
      <c r="A194" s="214"/>
      <c r="B194" s="227"/>
      <c r="C194" s="228"/>
      <c r="D194" s="228"/>
      <c r="E194" s="228"/>
      <c r="F194" s="228"/>
      <c r="G194" s="228"/>
      <c r="H194" s="214"/>
      <c r="I194" s="214"/>
      <c r="J194" s="214"/>
      <c r="K194" s="214"/>
      <c r="L194" s="214"/>
      <c r="M194" s="214"/>
      <c r="N194" s="214"/>
      <c r="O194" s="214"/>
    </row>
    <row r="195" ht="15.75" customHeight="1" spans="1:15" x14ac:dyDescent="0.25">
      <c r="A195" s="214"/>
      <c r="B195" s="227"/>
      <c r="C195" s="228"/>
      <c r="D195" s="228"/>
      <c r="E195" s="228"/>
      <c r="F195" s="228"/>
      <c r="G195" s="228"/>
      <c r="H195" s="214"/>
      <c r="I195" s="214"/>
      <c r="J195" s="214"/>
      <c r="K195" s="214"/>
      <c r="L195" s="214"/>
      <c r="M195" s="214"/>
      <c r="N195" s="214"/>
      <c r="O195" s="214"/>
    </row>
    <row r="196" ht="15.75" customHeight="1" spans="1:15" x14ac:dyDescent="0.25">
      <c r="A196" s="214"/>
      <c r="B196" s="227"/>
      <c r="C196" s="228"/>
      <c r="D196" s="228"/>
      <c r="E196" s="228"/>
      <c r="F196" s="228"/>
      <c r="G196" s="228"/>
      <c r="H196" s="214"/>
      <c r="I196" s="214"/>
      <c r="J196" s="214"/>
      <c r="K196" s="214"/>
      <c r="L196" s="214"/>
      <c r="M196" s="214"/>
      <c r="N196" s="214"/>
      <c r="O196" s="214"/>
    </row>
    <row r="197" ht="15.75" customHeight="1" spans="1:15" x14ac:dyDescent="0.25">
      <c r="A197" s="214"/>
      <c r="B197" s="227"/>
      <c r="C197" s="228"/>
      <c r="D197" s="228"/>
      <c r="E197" s="228"/>
      <c r="F197" s="228"/>
      <c r="G197" s="228"/>
      <c r="H197" s="214"/>
      <c r="I197" s="214"/>
      <c r="J197" s="214"/>
      <c r="K197" s="214"/>
      <c r="L197" s="214"/>
      <c r="M197" s="214"/>
      <c r="N197" s="214"/>
      <c r="O197" s="214"/>
    </row>
    <row r="198" ht="15.75" customHeight="1" spans="1:15" x14ac:dyDescent="0.25">
      <c r="A198" s="214"/>
      <c r="B198" s="227"/>
      <c r="C198" s="228"/>
      <c r="D198" s="228"/>
      <c r="E198" s="228"/>
      <c r="F198" s="228"/>
      <c r="G198" s="228"/>
      <c r="H198" s="214"/>
      <c r="I198" s="214"/>
      <c r="J198" s="214"/>
      <c r="K198" s="214"/>
      <c r="L198" s="214"/>
      <c r="M198" s="214"/>
      <c r="N198" s="214"/>
      <c r="O198" s="214"/>
    </row>
    <row r="199" ht="15.75" customHeight="1" spans="1:15" x14ac:dyDescent="0.25">
      <c r="A199" s="214"/>
      <c r="B199" s="227"/>
      <c r="C199" s="228"/>
      <c r="D199" s="228"/>
      <c r="E199" s="228"/>
      <c r="F199" s="228"/>
      <c r="G199" s="228"/>
      <c r="H199" s="214"/>
      <c r="I199" s="214"/>
      <c r="J199" s="214"/>
      <c r="K199" s="214"/>
      <c r="L199" s="214"/>
      <c r="M199" s="214"/>
      <c r="N199" s="214"/>
      <c r="O199" s="214"/>
    </row>
    <row r="200" ht="15.75" customHeight="1" spans="1:15" x14ac:dyDescent="0.25">
      <c r="A200" s="214"/>
      <c r="B200" s="227"/>
      <c r="C200" s="228"/>
      <c r="D200" s="228"/>
      <c r="E200" s="228"/>
      <c r="F200" s="228"/>
      <c r="G200" s="228"/>
      <c r="H200" s="214"/>
      <c r="I200" s="214"/>
      <c r="J200" s="214"/>
      <c r="K200" s="214"/>
      <c r="L200" s="214"/>
      <c r="M200" s="214"/>
      <c r="N200" s="214"/>
      <c r="O200" s="214"/>
    </row>
    <row r="201" ht="15.75" customHeight="1" spans="1:15" x14ac:dyDescent="0.25">
      <c r="A201" s="214"/>
      <c r="B201" s="227"/>
      <c r="C201" s="228"/>
      <c r="D201" s="228"/>
      <c r="E201" s="228"/>
      <c r="F201" s="228"/>
      <c r="G201" s="228"/>
      <c r="H201" s="214"/>
      <c r="I201" s="214"/>
      <c r="J201" s="214"/>
      <c r="K201" s="214"/>
      <c r="L201" s="214"/>
      <c r="M201" s="214"/>
      <c r="N201" s="214"/>
      <c r="O201" s="214"/>
    </row>
    <row r="202" ht="15.75" customHeight="1" spans="1:15" x14ac:dyDescent="0.25">
      <c r="A202" s="214"/>
      <c r="B202" s="227"/>
      <c r="C202" s="228"/>
      <c r="D202" s="228"/>
      <c r="E202" s="228"/>
      <c r="F202" s="228"/>
      <c r="G202" s="228"/>
      <c r="H202" s="214"/>
      <c r="I202" s="214"/>
      <c r="J202" s="214"/>
      <c r="K202" s="214"/>
      <c r="L202" s="214"/>
      <c r="M202" s="214"/>
      <c r="N202" s="214"/>
      <c r="O202" s="214"/>
    </row>
    <row r="203" ht="15.75" customHeight="1" spans="1:15" x14ac:dyDescent="0.25">
      <c r="A203" s="214"/>
      <c r="B203" s="227"/>
      <c r="C203" s="228"/>
      <c r="D203" s="228"/>
      <c r="E203" s="228"/>
      <c r="F203" s="228"/>
      <c r="G203" s="228"/>
      <c r="H203" s="214"/>
      <c r="I203" s="214"/>
      <c r="J203" s="214"/>
      <c r="K203" s="214"/>
      <c r="L203" s="214"/>
      <c r="M203" s="214"/>
      <c r="N203" s="214"/>
      <c r="O203" s="214"/>
    </row>
    <row r="204" ht="15.75" customHeight="1" spans="1:15" x14ac:dyDescent="0.25">
      <c r="A204" s="214"/>
      <c r="B204" s="227"/>
      <c r="C204" s="228"/>
      <c r="D204" s="228"/>
      <c r="E204" s="228"/>
      <c r="F204" s="228"/>
      <c r="G204" s="228"/>
      <c r="H204" s="214"/>
      <c r="I204" s="214"/>
      <c r="J204" s="214"/>
      <c r="K204" s="214"/>
      <c r="L204" s="214"/>
      <c r="M204" s="214"/>
      <c r="N204" s="214"/>
      <c r="O204" s="214"/>
    </row>
    <row r="205" ht="15.75" customHeight="1" spans="1:15" x14ac:dyDescent="0.25">
      <c r="A205" s="214"/>
      <c r="B205" s="227"/>
      <c r="C205" s="228"/>
      <c r="D205" s="228"/>
      <c r="E205" s="228"/>
      <c r="F205" s="228"/>
      <c r="G205" s="228"/>
      <c r="H205" s="214"/>
      <c r="I205" s="214"/>
      <c r="J205" s="214"/>
      <c r="K205" s="214"/>
      <c r="L205" s="214"/>
      <c r="M205" s="214"/>
      <c r="N205" s="214"/>
      <c r="O205" s="214"/>
    </row>
    <row r="206" ht="15.75" customHeight="1" spans="1:15" x14ac:dyDescent="0.25">
      <c r="A206" s="214"/>
      <c r="B206" s="227"/>
      <c r="C206" s="228"/>
      <c r="D206" s="228"/>
      <c r="E206" s="228"/>
      <c r="F206" s="228"/>
      <c r="G206" s="228"/>
      <c r="H206" s="214"/>
      <c r="I206" s="214"/>
      <c r="J206" s="214"/>
      <c r="K206" s="214"/>
      <c r="L206" s="214"/>
      <c r="M206" s="214"/>
      <c r="N206" s="214"/>
      <c r="O206" s="214"/>
    </row>
    <row r="207" ht="15.75" customHeight="1" spans="1:15" x14ac:dyDescent="0.25">
      <c r="A207" s="214"/>
      <c r="B207" s="227"/>
      <c r="C207" s="228"/>
      <c r="D207" s="228"/>
      <c r="E207" s="228"/>
      <c r="F207" s="228"/>
      <c r="G207" s="228"/>
      <c r="H207" s="214"/>
      <c r="I207" s="214"/>
      <c r="J207" s="214"/>
      <c r="K207" s="214"/>
      <c r="L207" s="214"/>
      <c r="M207" s="214"/>
      <c r="N207" s="214"/>
      <c r="O207" s="214"/>
    </row>
    <row r="208" ht="15.75" customHeight="1" spans="1:15" x14ac:dyDescent="0.25">
      <c r="A208" s="214"/>
      <c r="B208" s="227"/>
      <c r="C208" s="228"/>
      <c r="D208" s="228"/>
      <c r="E208" s="228"/>
      <c r="F208" s="228"/>
      <c r="G208" s="228"/>
      <c r="H208" s="214"/>
      <c r="I208" s="214"/>
      <c r="J208" s="214"/>
      <c r="K208" s="214"/>
      <c r="L208" s="214"/>
      <c r="M208" s="214"/>
      <c r="N208" s="214"/>
      <c r="O208" s="214"/>
    </row>
    <row r="209" ht="15.75" customHeight="1" spans="1:15" x14ac:dyDescent="0.25">
      <c r="A209" s="214"/>
      <c r="B209" s="227"/>
      <c r="C209" s="228"/>
      <c r="D209" s="228"/>
      <c r="E209" s="228"/>
      <c r="F209" s="228"/>
      <c r="G209" s="228"/>
      <c r="H209" s="214"/>
      <c r="I209" s="214"/>
      <c r="J209" s="214"/>
      <c r="K209" s="214"/>
      <c r="L209" s="214"/>
      <c r="M209" s="214"/>
      <c r="N209" s="214"/>
      <c r="O209" s="214"/>
    </row>
    <row r="210" ht="15.75" customHeight="1" spans="1:15" x14ac:dyDescent="0.25">
      <c r="A210" s="214"/>
      <c r="B210" s="227"/>
      <c r="C210" s="228"/>
      <c r="D210" s="228"/>
      <c r="E210" s="228"/>
      <c r="F210" s="228"/>
      <c r="G210" s="228"/>
      <c r="H210" s="214"/>
      <c r="I210" s="214"/>
      <c r="J210" s="214"/>
      <c r="K210" s="214"/>
      <c r="L210" s="214"/>
      <c r="M210" s="214"/>
      <c r="N210" s="214"/>
      <c r="O210" s="214"/>
    </row>
    <row r="211" ht="15.75" customHeight="1" spans="1:15" x14ac:dyDescent="0.25">
      <c r="A211" s="214"/>
      <c r="B211" s="227"/>
      <c r="C211" s="228"/>
      <c r="D211" s="228"/>
      <c r="E211" s="228"/>
      <c r="F211" s="228"/>
      <c r="G211" s="228"/>
      <c r="H211" s="214"/>
      <c r="I211" s="214"/>
      <c r="J211" s="214"/>
      <c r="K211" s="214"/>
      <c r="L211" s="214"/>
      <c r="M211" s="214"/>
      <c r="N211" s="214"/>
      <c r="O211" s="214"/>
    </row>
    <row r="212" ht="15.75" customHeight="1" spans="1:15" x14ac:dyDescent="0.25">
      <c r="A212" s="214"/>
      <c r="B212" s="227"/>
      <c r="C212" s="228"/>
      <c r="D212" s="228"/>
      <c r="E212" s="228"/>
      <c r="F212" s="228"/>
      <c r="G212" s="228"/>
      <c r="H212" s="214"/>
      <c r="I212" s="214"/>
      <c r="J212" s="214"/>
      <c r="K212" s="214"/>
      <c r="L212" s="214"/>
      <c r="M212" s="214"/>
      <c r="N212" s="214"/>
      <c r="O212" s="214"/>
    </row>
    <row r="213" ht="15.75" customHeight="1" spans="1:15" x14ac:dyDescent="0.25">
      <c r="A213" s="214"/>
      <c r="B213" s="227"/>
      <c r="C213" s="228"/>
      <c r="D213" s="228"/>
      <c r="E213" s="228"/>
      <c r="F213" s="228"/>
      <c r="G213" s="228"/>
      <c r="H213" s="214"/>
      <c r="I213" s="214"/>
      <c r="J213" s="214"/>
      <c r="K213" s="214"/>
      <c r="L213" s="214"/>
      <c r="M213" s="214"/>
      <c r="N213" s="214"/>
      <c r="O213" s="214"/>
    </row>
    <row r="214" ht="15.75" customHeight="1" spans="1:15" x14ac:dyDescent="0.25">
      <c r="A214" s="214"/>
      <c r="B214" s="227"/>
      <c r="C214" s="228"/>
      <c r="D214" s="228"/>
      <c r="E214" s="228"/>
      <c r="F214" s="228"/>
      <c r="G214" s="228"/>
      <c r="H214" s="214"/>
      <c r="I214" s="214"/>
      <c r="J214" s="214"/>
      <c r="K214" s="214"/>
      <c r="L214" s="214"/>
      <c r="M214" s="214"/>
      <c r="N214" s="214"/>
      <c r="O214" s="214"/>
    </row>
    <row r="215" ht="15.75" customHeight="1" spans="1:15" x14ac:dyDescent="0.25">
      <c r="A215" s="214"/>
      <c r="B215" s="227"/>
      <c r="C215" s="228"/>
      <c r="D215" s="228"/>
      <c r="E215" s="228"/>
      <c r="F215" s="228"/>
      <c r="G215" s="228"/>
      <c r="H215" s="214"/>
      <c r="I215" s="214"/>
      <c r="J215" s="214"/>
      <c r="K215" s="214"/>
      <c r="L215" s="214"/>
      <c r="M215" s="214"/>
      <c r="N215" s="214"/>
      <c r="O215" s="214"/>
    </row>
    <row r="216" ht="15.75" customHeight="1" spans="1:15" x14ac:dyDescent="0.25">
      <c r="A216" s="214"/>
      <c r="B216" s="227"/>
      <c r="C216" s="228"/>
      <c r="D216" s="228"/>
      <c r="E216" s="228"/>
      <c r="F216" s="228"/>
      <c r="G216" s="228"/>
      <c r="H216" s="214"/>
      <c r="I216" s="214"/>
      <c r="J216" s="214"/>
      <c r="K216" s="214"/>
      <c r="L216" s="214"/>
      <c r="M216" s="214"/>
      <c r="N216" s="214"/>
      <c r="O216" s="214"/>
    </row>
    <row r="217" ht="15.75" customHeight="1" spans="1:15" x14ac:dyDescent="0.25">
      <c r="A217" s="214"/>
      <c r="B217" s="227"/>
      <c r="C217" s="228"/>
      <c r="D217" s="228"/>
      <c r="E217" s="228"/>
      <c r="F217" s="228"/>
      <c r="G217" s="228"/>
      <c r="H217" s="214"/>
      <c r="I217" s="214"/>
      <c r="J217" s="214"/>
      <c r="K217" s="214"/>
      <c r="L217" s="214"/>
      <c r="M217" s="214"/>
      <c r="N217" s="214"/>
      <c r="O217" s="214"/>
    </row>
    <row r="218" ht="15.75" customHeight="1" spans="1:15" x14ac:dyDescent="0.25">
      <c r="A218" s="214"/>
      <c r="B218" s="227"/>
      <c r="C218" s="228"/>
      <c r="D218" s="228"/>
      <c r="E218" s="228"/>
      <c r="F218" s="228"/>
      <c r="G218" s="228"/>
      <c r="H218" s="214"/>
      <c r="I218" s="214"/>
      <c r="J218" s="214"/>
      <c r="K218" s="214"/>
      <c r="L218" s="214"/>
      <c r="M218" s="214"/>
      <c r="N218" s="214"/>
      <c r="O218" s="214"/>
    </row>
    <row r="219" ht="15.75" customHeight="1" spans="1:15" x14ac:dyDescent="0.25">
      <c r="A219" s="214"/>
      <c r="B219" s="227"/>
      <c r="C219" s="228"/>
      <c r="D219" s="228"/>
      <c r="E219" s="228"/>
      <c r="F219" s="228"/>
      <c r="G219" s="228"/>
      <c r="H219" s="214"/>
      <c r="I219" s="214"/>
      <c r="J219" s="214"/>
      <c r="K219" s="214"/>
      <c r="L219" s="214"/>
      <c r="M219" s="214"/>
      <c r="N219" s="214"/>
      <c r="O219" s="214"/>
    </row>
    <row r="220" ht="15.75" customHeight="1" spans="1:15" x14ac:dyDescent="0.25">
      <c r="A220" s="214"/>
      <c r="B220" s="227"/>
      <c r="C220" s="228"/>
      <c r="D220" s="228"/>
      <c r="E220" s="228"/>
      <c r="F220" s="228"/>
      <c r="G220" s="228"/>
      <c r="H220" s="214"/>
      <c r="I220" s="214"/>
      <c r="J220" s="214"/>
      <c r="K220" s="214"/>
      <c r="L220" s="214"/>
      <c r="M220" s="214"/>
      <c r="N220" s="214"/>
      <c r="O220" s="214"/>
    </row>
    <row r="221" ht="15.75" customHeight="1" spans="1:15" x14ac:dyDescent="0.25">
      <c r="A221" s="214"/>
      <c r="B221" s="227"/>
      <c r="C221" s="228"/>
      <c r="D221" s="228"/>
      <c r="E221" s="228"/>
      <c r="F221" s="228"/>
      <c r="G221" s="228"/>
      <c r="H221" s="214"/>
      <c r="I221" s="214"/>
      <c r="J221" s="214"/>
      <c r="K221" s="214"/>
      <c r="L221" s="214"/>
      <c r="M221" s="214"/>
      <c r="N221" s="214"/>
      <c r="O221" s="214"/>
    </row>
    <row r="222" ht="15.75" customHeight="1" spans="1:15" x14ac:dyDescent="0.25">
      <c r="A222" s="214"/>
      <c r="B222" s="227"/>
      <c r="C222" s="228"/>
      <c r="D222" s="228"/>
      <c r="E222" s="228"/>
      <c r="F222" s="228"/>
      <c r="G222" s="228"/>
      <c r="H222" s="214"/>
      <c r="I222" s="214"/>
      <c r="J222" s="214"/>
      <c r="K222" s="214"/>
      <c r="L222" s="214"/>
      <c r="M222" s="214"/>
      <c r="N222" s="214"/>
      <c r="O222" s="214"/>
    </row>
    <row r="223" ht="15.75" customHeight="1" spans="1:15" x14ac:dyDescent="0.25">
      <c r="A223" s="214"/>
      <c r="B223" s="227"/>
      <c r="C223" s="228"/>
      <c r="D223" s="228"/>
      <c r="E223" s="228"/>
      <c r="F223" s="228"/>
      <c r="G223" s="228"/>
      <c r="H223" s="214"/>
      <c r="I223" s="214"/>
      <c r="J223" s="214"/>
      <c r="K223" s="214"/>
      <c r="L223" s="214"/>
      <c r="M223" s="214"/>
      <c r="N223" s="214"/>
      <c r="O223" s="214"/>
    </row>
    <row r="224" ht="15.75" customHeight="1" spans="1:15" x14ac:dyDescent="0.25">
      <c r="A224" s="214"/>
      <c r="B224" s="227"/>
      <c r="C224" s="228"/>
      <c r="D224" s="228"/>
      <c r="E224" s="228"/>
      <c r="F224" s="228"/>
      <c r="G224" s="228"/>
      <c r="H224" s="214"/>
      <c r="I224" s="214"/>
      <c r="J224" s="214"/>
      <c r="K224" s="214"/>
      <c r="L224" s="214"/>
      <c r="M224" s="214"/>
      <c r="N224" s="214"/>
      <c r="O224" s="214"/>
    </row>
    <row r="225" ht="15.75" customHeight="1" spans="1:15" x14ac:dyDescent="0.25">
      <c r="A225" s="214"/>
      <c r="B225" s="227"/>
      <c r="C225" s="228"/>
      <c r="D225" s="228"/>
      <c r="E225" s="228"/>
      <c r="F225" s="228"/>
      <c r="G225" s="228"/>
      <c r="H225" s="214"/>
      <c r="I225" s="214"/>
      <c r="J225" s="214"/>
      <c r="K225" s="214"/>
      <c r="L225" s="214"/>
      <c r="M225" s="214"/>
      <c r="N225" s="214"/>
      <c r="O225" s="214"/>
    </row>
    <row r="226" ht="15.75" customHeight="1" spans="1:15" x14ac:dyDescent="0.25">
      <c r="A226" s="214"/>
      <c r="B226" s="227"/>
      <c r="C226" s="228"/>
      <c r="D226" s="228"/>
      <c r="E226" s="228"/>
      <c r="F226" s="228"/>
      <c r="G226" s="228"/>
      <c r="H226" s="214"/>
      <c r="I226" s="214"/>
      <c r="J226" s="214"/>
      <c r="K226" s="214"/>
      <c r="L226" s="214"/>
      <c r="M226" s="214"/>
      <c r="N226" s="214"/>
      <c r="O226" s="214"/>
    </row>
    <row r="227" ht="15.75" customHeight="1" spans="1:15" x14ac:dyDescent="0.25">
      <c r="A227" s="214"/>
      <c r="B227" s="227"/>
      <c r="C227" s="228"/>
      <c r="D227" s="228"/>
      <c r="E227" s="228"/>
      <c r="F227" s="228"/>
      <c r="G227" s="228"/>
      <c r="H227" s="214"/>
      <c r="I227" s="214"/>
      <c r="J227" s="214"/>
      <c r="K227" s="214"/>
      <c r="L227" s="214"/>
      <c r="M227" s="214"/>
      <c r="N227" s="214"/>
      <c r="O227" s="214"/>
    </row>
    <row r="228" ht="15.75" customHeight="1" spans="1:15" x14ac:dyDescent="0.25">
      <c r="A228" s="214"/>
      <c r="B228" s="227"/>
      <c r="C228" s="228"/>
      <c r="D228" s="228"/>
      <c r="E228" s="228"/>
      <c r="F228" s="228"/>
      <c r="G228" s="228"/>
      <c r="H228" s="214"/>
      <c r="I228" s="214"/>
      <c r="J228" s="214"/>
      <c r="K228" s="214"/>
      <c r="L228" s="214"/>
      <c r="M228" s="214"/>
      <c r="N228" s="214"/>
      <c r="O228" s="214"/>
    </row>
    <row r="229" ht="15.75" customHeight="1" spans="1:15" x14ac:dyDescent="0.25">
      <c r="A229" s="214"/>
      <c r="B229" s="227"/>
      <c r="C229" s="228"/>
      <c r="D229" s="228"/>
      <c r="E229" s="228"/>
      <c r="F229" s="228"/>
      <c r="G229" s="228"/>
      <c r="H229" s="214"/>
      <c r="I229" s="214"/>
      <c r="J229" s="214"/>
      <c r="K229" s="214"/>
      <c r="L229" s="214"/>
      <c r="M229" s="214"/>
      <c r="N229" s="214"/>
      <c r="O229" s="214"/>
    </row>
    <row r="230" ht="15.75" customHeight="1" spans="1:15" x14ac:dyDescent="0.25">
      <c r="A230" s="214"/>
      <c r="B230" s="227"/>
      <c r="C230" s="228"/>
      <c r="D230" s="228"/>
      <c r="E230" s="228"/>
      <c r="F230" s="228"/>
      <c r="G230" s="228"/>
      <c r="H230" s="214"/>
      <c r="I230" s="214"/>
      <c r="J230" s="214"/>
      <c r="K230" s="214"/>
      <c r="L230" s="214"/>
      <c r="M230" s="214"/>
      <c r="N230" s="214"/>
      <c r="O230" s="214"/>
    </row>
    <row r="231" ht="15.75" customHeight="1" spans="1:15" x14ac:dyDescent="0.25">
      <c r="A231" s="214"/>
      <c r="B231" s="227"/>
      <c r="C231" s="228"/>
      <c r="D231" s="228"/>
      <c r="E231" s="228"/>
      <c r="F231" s="228"/>
      <c r="G231" s="228"/>
      <c r="H231" s="214"/>
      <c r="I231" s="214"/>
      <c r="J231" s="214"/>
      <c r="K231" s="214"/>
      <c r="L231" s="214"/>
      <c r="M231" s="214"/>
      <c r="N231" s="214"/>
      <c r="O231" s="214"/>
    </row>
    <row r="232" ht="15.75" customHeight="1" spans="1:15" x14ac:dyDescent="0.25">
      <c r="A232" s="214"/>
      <c r="B232" s="227"/>
      <c r="C232" s="228"/>
      <c r="D232" s="228"/>
      <c r="E232" s="228"/>
      <c r="F232" s="228"/>
      <c r="G232" s="228"/>
      <c r="H232" s="214"/>
      <c r="I232" s="214"/>
      <c r="J232" s="214"/>
      <c r="K232" s="214"/>
      <c r="L232" s="214"/>
      <c r="M232" s="214"/>
      <c r="N232" s="214"/>
      <c r="O232" s="214"/>
    </row>
    <row r="233" ht="15.75" customHeight="1" spans="1:15" x14ac:dyDescent="0.25">
      <c r="A233" s="214"/>
      <c r="B233" s="227"/>
      <c r="C233" s="228"/>
      <c r="D233" s="228"/>
      <c r="E233" s="228"/>
      <c r="F233" s="228"/>
      <c r="G233" s="228"/>
      <c r="H233" s="214"/>
      <c r="I233" s="214"/>
      <c r="J233" s="214"/>
      <c r="K233" s="214"/>
      <c r="L233" s="214"/>
      <c r="M233" s="214"/>
      <c r="N233" s="214"/>
      <c r="O233" s="214"/>
    </row>
    <row r="234" ht="15.75" customHeight="1" spans="1:15" x14ac:dyDescent="0.25">
      <c r="A234" s="214"/>
      <c r="B234" s="227"/>
      <c r="C234" s="228"/>
      <c r="D234" s="228"/>
      <c r="E234" s="228"/>
      <c r="F234" s="228"/>
      <c r="G234" s="228"/>
      <c r="H234" s="214"/>
      <c r="I234" s="214"/>
      <c r="J234" s="214"/>
      <c r="K234" s="214"/>
      <c r="L234" s="214"/>
      <c r="M234" s="214"/>
      <c r="N234" s="214"/>
      <c r="O234" s="214"/>
    </row>
    <row r="235" ht="15.75" customHeight="1" spans="1:15" x14ac:dyDescent="0.25">
      <c r="A235" s="214"/>
      <c r="B235" s="227"/>
      <c r="C235" s="228"/>
      <c r="D235" s="228"/>
      <c r="E235" s="228"/>
      <c r="F235" s="228"/>
      <c r="G235" s="228"/>
      <c r="H235" s="214"/>
      <c r="I235" s="214"/>
      <c r="J235" s="214"/>
      <c r="K235" s="214"/>
      <c r="L235" s="214"/>
      <c r="M235" s="214"/>
      <c r="N235" s="214"/>
      <c r="O235" s="214"/>
    </row>
    <row r="236" ht="15.75" customHeight="1" spans="1:15" x14ac:dyDescent="0.25">
      <c r="A236" s="214"/>
      <c r="B236" s="227"/>
      <c r="C236" s="228"/>
      <c r="D236" s="228"/>
      <c r="E236" s="228"/>
      <c r="F236" s="228"/>
      <c r="G236" s="228"/>
      <c r="H236" s="214"/>
      <c r="I236" s="214"/>
      <c r="J236" s="214"/>
      <c r="K236" s="214"/>
      <c r="L236" s="214"/>
      <c r="M236" s="214"/>
      <c r="N236" s="214"/>
      <c r="O236" s="214"/>
    </row>
    <row r="237" ht="15.75" customHeight="1" spans="1:15" x14ac:dyDescent="0.25">
      <c r="A237" s="214"/>
      <c r="B237" s="227"/>
      <c r="C237" s="228"/>
      <c r="D237" s="228"/>
      <c r="E237" s="228"/>
      <c r="F237" s="228"/>
      <c r="G237" s="228"/>
      <c r="H237" s="214"/>
      <c r="I237" s="214"/>
      <c r="J237" s="214"/>
      <c r="K237" s="214"/>
      <c r="L237" s="214"/>
      <c r="M237" s="214"/>
      <c r="N237" s="214"/>
      <c r="O237" s="214"/>
    </row>
    <row r="238" ht="15.75" customHeight="1" spans="1:15" x14ac:dyDescent="0.25">
      <c r="A238" s="214"/>
      <c r="B238" s="227"/>
      <c r="C238" s="228"/>
      <c r="D238" s="228"/>
      <c r="E238" s="228"/>
      <c r="F238" s="228"/>
      <c r="G238" s="228"/>
      <c r="H238" s="214"/>
      <c r="I238" s="214"/>
      <c r="J238" s="214"/>
      <c r="K238" s="214"/>
      <c r="L238" s="214"/>
      <c r="M238" s="214"/>
      <c r="N238" s="214"/>
      <c r="O238" s="214"/>
    </row>
    <row r="239" ht="15.75" customHeight="1" spans="1:15" x14ac:dyDescent="0.25">
      <c r="A239" s="214"/>
      <c r="B239" s="227"/>
      <c r="C239" s="228"/>
      <c r="D239" s="228"/>
      <c r="E239" s="228"/>
      <c r="F239" s="228"/>
      <c r="G239" s="228"/>
      <c r="H239" s="214"/>
      <c r="I239" s="214"/>
      <c r="J239" s="214"/>
      <c r="K239" s="214"/>
      <c r="L239" s="214"/>
      <c r="M239" s="214"/>
      <c r="N239" s="214"/>
      <c r="O239" s="214"/>
    </row>
    <row r="240" ht="15.75" customHeight="1" spans="1:15" x14ac:dyDescent="0.25">
      <c r="A240" s="214"/>
      <c r="B240" s="227"/>
      <c r="C240" s="228"/>
      <c r="D240" s="228"/>
      <c r="E240" s="228"/>
      <c r="F240" s="228"/>
      <c r="G240" s="228"/>
      <c r="H240" s="214"/>
      <c r="I240" s="214"/>
      <c r="J240" s="214"/>
      <c r="K240" s="214"/>
      <c r="L240" s="214"/>
      <c r="M240" s="214"/>
      <c r="N240" s="214"/>
      <c r="O240" s="214"/>
    </row>
    <row r="241" ht="15.75" customHeight="1" spans="1:15" x14ac:dyDescent="0.25">
      <c r="A241" s="214"/>
      <c r="B241" s="227"/>
      <c r="C241" s="228"/>
      <c r="D241" s="228"/>
      <c r="E241" s="228"/>
      <c r="F241" s="228"/>
      <c r="G241" s="228"/>
      <c r="H241" s="214"/>
      <c r="I241" s="214"/>
      <c r="J241" s="214"/>
      <c r="K241" s="214"/>
      <c r="L241" s="214"/>
      <c r="M241" s="214"/>
      <c r="N241" s="214"/>
      <c r="O241" s="214"/>
    </row>
    <row r="242" ht="15.75" customHeight="1" spans="1:15" x14ac:dyDescent="0.25">
      <c r="A242" s="214"/>
      <c r="B242" s="227"/>
      <c r="C242" s="228"/>
      <c r="D242" s="228"/>
      <c r="E242" s="228"/>
      <c r="F242" s="228"/>
      <c r="G242" s="228"/>
      <c r="H242" s="214"/>
      <c r="I242" s="214"/>
      <c r="J242" s="214"/>
      <c r="K242" s="214"/>
      <c r="L242" s="214"/>
      <c r="M242" s="214"/>
      <c r="N242" s="214"/>
      <c r="O242" s="214"/>
    </row>
    <row r="243" ht="15.75" customHeight="1" spans="1:15" x14ac:dyDescent="0.25">
      <c r="A243" s="214"/>
      <c r="B243" s="227"/>
      <c r="C243" s="228"/>
      <c r="D243" s="228"/>
      <c r="E243" s="228"/>
      <c r="F243" s="228"/>
      <c r="G243" s="228"/>
      <c r="H243" s="214"/>
      <c r="I243" s="214"/>
      <c r="J243" s="214"/>
      <c r="K243" s="214"/>
      <c r="L243" s="214"/>
      <c r="M243" s="214"/>
      <c r="N243" s="214"/>
      <c r="O243" s="214"/>
    </row>
    <row r="244" ht="15.75" customHeight="1" spans="1:15" x14ac:dyDescent="0.25">
      <c r="A244" s="214"/>
      <c r="B244" s="227"/>
      <c r="C244" s="228"/>
      <c r="D244" s="228"/>
      <c r="E244" s="228"/>
      <c r="F244" s="228"/>
      <c r="G244" s="228"/>
      <c r="H244" s="214"/>
      <c r="I244" s="214"/>
      <c r="J244" s="214"/>
      <c r="K244" s="214"/>
      <c r="L244" s="214"/>
      <c r="M244" s="214"/>
      <c r="N244" s="214"/>
      <c r="O244" s="214"/>
    </row>
    <row r="245" ht="15.75" customHeight="1" spans="1:15" x14ac:dyDescent="0.25">
      <c r="A245" s="214"/>
      <c r="B245" s="227"/>
      <c r="C245" s="228"/>
      <c r="D245" s="228"/>
      <c r="E245" s="228"/>
      <c r="F245" s="228"/>
      <c r="G245" s="228"/>
      <c r="H245" s="214"/>
      <c r="I245" s="214"/>
      <c r="J245" s="214"/>
      <c r="K245" s="214"/>
      <c r="L245" s="214"/>
      <c r="M245" s="214"/>
      <c r="N245" s="214"/>
      <c r="O245" s="214"/>
    </row>
    <row r="246" ht="15.75" customHeight="1" spans="1:15" x14ac:dyDescent="0.25">
      <c r="A246" s="214"/>
      <c r="B246" s="227"/>
      <c r="C246" s="228"/>
      <c r="D246" s="228"/>
      <c r="E246" s="228"/>
      <c r="F246" s="228"/>
      <c r="G246" s="228"/>
      <c r="H246" s="214"/>
      <c r="I246" s="214"/>
      <c r="J246" s="214"/>
      <c r="K246" s="214"/>
      <c r="L246" s="214"/>
      <c r="M246" s="214"/>
      <c r="N246" s="214"/>
      <c r="O246" s="214"/>
    </row>
    <row r="247" ht="15.75" customHeight="1" spans="1:15" x14ac:dyDescent="0.25">
      <c r="A247" s="214"/>
      <c r="B247" s="227"/>
      <c r="C247" s="228"/>
      <c r="D247" s="228"/>
      <c r="E247" s="228"/>
      <c r="F247" s="228"/>
      <c r="G247" s="228"/>
      <c r="H247" s="214"/>
      <c r="I247" s="214"/>
      <c r="J247" s="214"/>
      <c r="K247" s="214"/>
      <c r="L247" s="214"/>
      <c r="M247" s="214"/>
      <c r="N247" s="214"/>
      <c r="O247" s="214"/>
    </row>
    <row r="248" ht="15.75" customHeight="1" spans="1:15" x14ac:dyDescent="0.25">
      <c r="A248" s="214"/>
      <c r="B248" s="227"/>
      <c r="C248" s="228"/>
      <c r="D248" s="228"/>
      <c r="E248" s="228"/>
      <c r="F248" s="228"/>
      <c r="G248" s="228"/>
      <c r="H248" s="214"/>
      <c r="I248" s="214"/>
      <c r="J248" s="214"/>
      <c r="K248" s="214"/>
      <c r="L248" s="214"/>
      <c r="M248" s="214"/>
      <c r="N248" s="214"/>
      <c r="O248" s="214"/>
    </row>
    <row r="249" ht="15.75" customHeight="1" spans="1:15" x14ac:dyDescent="0.25">
      <c r="A249" s="214"/>
      <c r="B249" s="227"/>
      <c r="C249" s="228"/>
      <c r="D249" s="228"/>
      <c r="E249" s="228"/>
      <c r="F249" s="228"/>
      <c r="G249" s="228"/>
      <c r="H249" s="214"/>
      <c r="I249" s="214"/>
      <c r="J249" s="214"/>
      <c r="K249" s="214"/>
      <c r="L249" s="214"/>
      <c r="M249" s="214"/>
      <c r="N249" s="214"/>
      <c r="O249" s="214"/>
    </row>
    <row r="250" ht="15.75" customHeight="1" spans="1:15" x14ac:dyDescent="0.25">
      <c r="A250" s="214"/>
      <c r="B250" s="227"/>
      <c r="C250" s="228"/>
      <c r="D250" s="228"/>
      <c r="E250" s="228"/>
      <c r="F250" s="228"/>
      <c r="G250" s="228"/>
      <c r="H250" s="214"/>
      <c r="I250" s="214"/>
      <c r="J250" s="214"/>
      <c r="K250" s="214"/>
      <c r="L250" s="214"/>
      <c r="M250" s="214"/>
      <c r="N250" s="214"/>
      <c r="O250" s="214"/>
    </row>
    <row r="251" ht="15.75" customHeight="1" spans="1:15" x14ac:dyDescent="0.25">
      <c r="A251" s="214"/>
      <c r="B251" s="227"/>
      <c r="C251" s="228"/>
      <c r="D251" s="228"/>
      <c r="E251" s="228"/>
      <c r="F251" s="228"/>
      <c r="G251" s="228"/>
      <c r="H251" s="214"/>
      <c r="I251" s="214"/>
      <c r="J251" s="214"/>
      <c r="K251" s="214"/>
      <c r="L251" s="214"/>
      <c r="M251" s="214"/>
      <c r="N251" s="214"/>
      <c r="O251" s="214"/>
    </row>
    <row r="252" ht="15.75" customHeight="1" spans="1:15" x14ac:dyDescent="0.25">
      <c r="A252" s="214"/>
      <c r="B252" s="227"/>
      <c r="C252" s="228"/>
      <c r="D252" s="228"/>
      <c r="E252" s="228"/>
      <c r="F252" s="228"/>
      <c r="G252" s="228"/>
      <c r="H252" s="214"/>
      <c r="I252" s="214"/>
      <c r="J252" s="214"/>
      <c r="K252" s="214"/>
      <c r="L252" s="214"/>
      <c r="M252" s="214"/>
      <c r="N252" s="214"/>
      <c r="O252" s="214"/>
    </row>
    <row r="253" ht="15.75" customHeight="1" spans="1:15" x14ac:dyDescent="0.25">
      <c r="A253" s="214"/>
      <c r="B253" s="227"/>
      <c r="C253" s="228"/>
      <c r="D253" s="228"/>
      <c r="E253" s="228"/>
      <c r="F253" s="228"/>
      <c r="G253" s="228"/>
      <c r="H253" s="214"/>
      <c r="I253" s="214"/>
      <c r="J253" s="214"/>
      <c r="K253" s="214"/>
      <c r="L253" s="214"/>
      <c r="M253" s="214"/>
      <c r="N253" s="214"/>
      <c r="O253" s="214"/>
    </row>
    <row r="254" ht="15.75" customHeight="1" spans="1:15" x14ac:dyDescent="0.25">
      <c r="A254" s="214"/>
      <c r="B254" s="227"/>
      <c r="C254" s="228"/>
      <c r="D254" s="228"/>
      <c r="E254" s="228"/>
      <c r="F254" s="228"/>
      <c r="G254" s="228"/>
      <c r="H254" s="214"/>
      <c r="I254" s="214"/>
      <c r="J254" s="214"/>
      <c r="K254" s="214"/>
      <c r="L254" s="214"/>
      <c r="M254" s="214"/>
      <c r="N254" s="214"/>
      <c r="O254" s="214"/>
    </row>
    <row r="255" ht="15.75" customHeight="1" spans="1:15" x14ac:dyDescent="0.25">
      <c r="A255" s="214"/>
      <c r="B255" s="227"/>
      <c r="C255" s="228"/>
      <c r="D255" s="228"/>
      <c r="E255" s="228"/>
      <c r="F255" s="228"/>
      <c r="G255" s="228"/>
      <c r="H255" s="214"/>
      <c r="I255" s="214"/>
      <c r="J255" s="214"/>
      <c r="K255" s="214"/>
      <c r="L255" s="214"/>
      <c r="M255" s="214"/>
      <c r="N255" s="214"/>
      <c r="O255" s="214"/>
    </row>
    <row r="256" ht="15.75" customHeight="1" spans="1:15" x14ac:dyDescent="0.25">
      <c r="A256" s="214"/>
      <c r="B256" s="227"/>
      <c r="C256" s="228"/>
      <c r="D256" s="228"/>
      <c r="E256" s="228"/>
      <c r="F256" s="228"/>
      <c r="G256" s="228"/>
      <c r="H256" s="214"/>
      <c r="I256" s="214"/>
      <c r="J256" s="214"/>
      <c r="K256" s="214"/>
      <c r="L256" s="214"/>
      <c r="M256" s="214"/>
      <c r="N256" s="214"/>
      <c r="O256" s="214"/>
    </row>
    <row r="257" ht="15.75" customHeight="1" spans="1:15" x14ac:dyDescent="0.25">
      <c r="A257" s="214"/>
      <c r="B257" s="227"/>
      <c r="C257" s="228"/>
      <c r="D257" s="228"/>
      <c r="E257" s="228"/>
      <c r="F257" s="228"/>
      <c r="G257" s="228"/>
      <c r="H257" s="214"/>
      <c r="I257" s="214"/>
      <c r="J257" s="214"/>
      <c r="K257" s="214"/>
      <c r="L257" s="214"/>
      <c r="M257" s="214"/>
      <c r="N257" s="214"/>
      <c r="O257" s="214"/>
    </row>
    <row r="258" ht="15.75" customHeight="1" spans="1:15" x14ac:dyDescent="0.25">
      <c r="A258" s="214"/>
      <c r="B258" s="227"/>
      <c r="C258" s="228"/>
      <c r="D258" s="228"/>
      <c r="E258" s="228"/>
      <c r="F258" s="228"/>
      <c r="G258" s="228"/>
      <c r="H258" s="214"/>
      <c r="I258" s="214"/>
      <c r="J258" s="214"/>
      <c r="K258" s="214"/>
      <c r="L258" s="214"/>
      <c r="M258" s="214"/>
      <c r="N258" s="214"/>
      <c r="O258" s="214"/>
    </row>
    <row r="259" ht="15.75" customHeight="1" spans="1:15" x14ac:dyDescent="0.25">
      <c r="A259" s="214"/>
      <c r="B259" s="227"/>
      <c r="C259" s="228"/>
      <c r="D259" s="228"/>
      <c r="E259" s="228"/>
      <c r="F259" s="228"/>
      <c r="G259" s="228"/>
      <c r="H259" s="214"/>
      <c r="I259" s="214"/>
      <c r="J259" s="214"/>
      <c r="K259" s="214"/>
      <c r="L259" s="214"/>
      <c r="M259" s="214"/>
      <c r="N259" s="214"/>
      <c r="O259" s="214"/>
    </row>
    <row r="260" ht="15.75" customHeight="1" spans="1:15" x14ac:dyDescent="0.25">
      <c r="A260" s="214"/>
      <c r="B260" s="227"/>
      <c r="C260" s="228"/>
      <c r="D260" s="228"/>
      <c r="E260" s="228"/>
      <c r="F260" s="228"/>
      <c r="G260" s="228"/>
      <c r="H260" s="214"/>
      <c r="I260" s="214"/>
      <c r="J260" s="214"/>
      <c r="K260" s="214"/>
      <c r="L260" s="214"/>
      <c r="M260" s="214"/>
      <c r="N260" s="214"/>
      <c r="O260" s="214"/>
    </row>
    <row r="261" ht="15.75" customHeight="1" spans="1:15" x14ac:dyDescent="0.25">
      <c r="A261" s="214"/>
      <c r="B261" s="227"/>
      <c r="C261" s="228"/>
      <c r="D261" s="228"/>
      <c r="E261" s="228"/>
      <c r="F261" s="228"/>
      <c r="G261" s="228"/>
      <c r="H261" s="214"/>
      <c r="I261" s="214"/>
      <c r="J261" s="214"/>
      <c r="K261" s="214"/>
      <c r="L261" s="214"/>
      <c r="M261" s="214"/>
      <c r="N261" s="214"/>
      <c r="O261" s="214"/>
    </row>
    <row r="262" ht="15.75" customHeight="1" spans="1:15" x14ac:dyDescent="0.25">
      <c r="A262" s="214"/>
      <c r="B262" s="227"/>
      <c r="C262" s="228"/>
      <c r="D262" s="228"/>
      <c r="E262" s="228"/>
      <c r="F262" s="228"/>
      <c r="G262" s="228"/>
      <c r="H262" s="214"/>
      <c r="I262" s="214"/>
      <c r="J262" s="214"/>
      <c r="K262" s="214"/>
      <c r="L262" s="214"/>
      <c r="M262" s="214"/>
      <c r="N262" s="214"/>
      <c r="O262" s="214"/>
    </row>
    <row r="263" ht="15.75" customHeight="1" spans="1:15" x14ac:dyDescent="0.25">
      <c r="A263" s="214"/>
      <c r="B263" s="227"/>
      <c r="C263" s="228"/>
      <c r="D263" s="228"/>
      <c r="E263" s="228"/>
      <c r="F263" s="228"/>
      <c r="G263" s="228"/>
      <c r="H263" s="214"/>
      <c r="I263" s="214"/>
      <c r="J263" s="214"/>
      <c r="K263" s="214"/>
      <c r="L263" s="214"/>
      <c r="M263" s="214"/>
      <c r="N263" s="214"/>
      <c r="O263" s="214"/>
    </row>
    <row r="264" ht="15.75" customHeight="1" spans="1:15" x14ac:dyDescent="0.25">
      <c r="A264" s="214"/>
      <c r="B264" s="227"/>
      <c r="C264" s="228"/>
      <c r="D264" s="228"/>
      <c r="E264" s="228"/>
      <c r="F264" s="228"/>
      <c r="G264" s="228"/>
      <c r="H264" s="214"/>
      <c r="I264" s="214"/>
      <c r="J264" s="214"/>
      <c r="K264" s="214"/>
      <c r="L264" s="214"/>
      <c r="M264" s="214"/>
      <c r="N264" s="214"/>
      <c r="O264" s="214"/>
    </row>
    <row r="265" ht="15.75" customHeight="1" spans="1:15" x14ac:dyDescent="0.25">
      <c r="A265" s="214"/>
      <c r="B265" s="227"/>
      <c r="C265" s="228"/>
      <c r="D265" s="228"/>
      <c r="E265" s="228"/>
      <c r="F265" s="228"/>
      <c r="G265" s="228"/>
      <c r="H265" s="214"/>
      <c r="I265" s="214"/>
      <c r="J265" s="214"/>
      <c r="K265" s="214"/>
      <c r="L265" s="214"/>
      <c r="M265" s="214"/>
      <c r="N265" s="214"/>
      <c r="O265" s="214"/>
    </row>
    <row r="266" ht="15.75" customHeight="1" spans="1:15" x14ac:dyDescent="0.25">
      <c r="A266" s="214"/>
      <c r="B266" s="227"/>
      <c r="C266" s="228"/>
      <c r="D266" s="228"/>
      <c r="E266" s="228"/>
      <c r="F266" s="228"/>
      <c r="G266" s="228"/>
      <c r="H266" s="214"/>
      <c r="I266" s="214"/>
      <c r="J266" s="214"/>
      <c r="K266" s="214"/>
      <c r="L266" s="214"/>
      <c r="M266" s="214"/>
      <c r="N266" s="214"/>
      <c r="O266" s="214"/>
    </row>
    <row r="267" ht="15.75" customHeight="1" spans="1:15" x14ac:dyDescent="0.25">
      <c r="A267" s="214"/>
      <c r="B267" s="227"/>
      <c r="C267" s="228"/>
      <c r="D267" s="228"/>
      <c r="E267" s="228"/>
      <c r="F267" s="228"/>
      <c r="G267" s="228"/>
      <c r="H267" s="214"/>
      <c r="I267" s="214"/>
      <c r="J267" s="214"/>
      <c r="K267" s="214"/>
      <c r="L267" s="214"/>
      <c r="M267" s="214"/>
      <c r="N267" s="214"/>
      <c r="O267" s="214"/>
    </row>
    <row r="268" ht="15.75" customHeight="1" spans="1:15" x14ac:dyDescent="0.25">
      <c r="A268" s="214"/>
      <c r="B268" s="227"/>
      <c r="C268" s="228"/>
      <c r="D268" s="228"/>
      <c r="E268" s="228"/>
      <c r="F268" s="228"/>
      <c r="G268" s="228"/>
      <c r="H268" s="214"/>
      <c r="I268" s="214"/>
      <c r="J268" s="214"/>
      <c r="K268" s="214"/>
      <c r="L268" s="214"/>
      <c r="M268" s="214"/>
      <c r="N268" s="214"/>
      <c r="O268" s="214"/>
    </row>
    <row r="269" ht="15.75" customHeight="1" spans="1:15" x14ac:dyDescent="0.25">
      <c r="A269" s="214"/>
      <c r="B269" s="227"/>
      <c r="C269" s="228"/>
      <c r="D269" s="228"/>
      <c r="E269" s="228"/>
      <c r="F269" s="228"/>
      <c r="G269" s="228"/>
      <c r="H269" s="214"/>
      <c r="I269" s="214"/>
      <c r="J269" s="214"/>
      <c r="K269" s="214"/>
      <c r="L269" s="214"/>
      <c r="M269" s="214"/>
      <c r="N269" s="214"/>
      <c r="O269" s="214"/>
    </row>
    <row r="270" ht="15.75" customHeight="1" spans="1:15" x14ac:dyDescent="0.25">
      <c r="A270" s="214"/>
      <c r="B270" s="227"/>
      <c r="C270" s="228"/>
      <c r="D270" s="228"/>
      <c r="E270" s="228"/>
      <c r="F270" s="228"/>
      <c r="G270" s="228"/>
      <c r="H270" s="214"/>
      <c r="I270" s="214"/>
      <c r="J270" s="214"/>
      <c r="K270" s="214"/>
      <c r="L270" s="214"/>
      <c r="M270" s="214"/>
      <c r="N270" s="214"/>
      <c r="O270" s="214"/>
    </row>
    <row r="271" ht="15.75" customHeight="1" spans="1:15" x14ac:dyDescent="0.25">
      <c r="A271" s="214"/>
      <c r="B271" s="227"/>
      <c r="C271" s="228"/>
      <c r="D271" s="228"/>
      <c r="E271" s="228"/>
      <c r="F271" s="228"/>
      <c r="G271" s="228"/>
      <c r="H271" s="214"/>
      <c r="I271" s="214"/>
      <c r="J271" s="214"/>
      <c r="K271" s="214"/>
      <c r="L271" s="214"/>
      <c r="M271" s="214"/>
      <c r="N271" s="214"/>
      <c r="O271" s="214"/>
    </row>
    <row r="272" ht="15.75" customHeight="1" spans="1:15" x14ac:dyDescent="0.25">
      <c r="A272" s="214"/>
      <c r="B272" s="227"/>
      <c r="C272" s="228"/>
      <c r="D272" s="228"/>
      <c r="E272" s="228"/>
      <c r="F272" s="228"/>
      <c r="G272" s="228"/>
      <c r="H272" s="214"/>
      <c r="I272" s="214"/>
      <c r="J272" s="214"/>
      <c r="K272" s="214"/>
      <c r="L272" s="214"/>
      <c r="M272" s="214"/>
      <c r="N272" s="214"/>
      <c r="O272" s="214"/>
    </row>
    <row r="273" ht="15.75" customHeight="1" spans="1:15" x14ac:dyDescent="0.25">
      <c r="A273" s="214"/>
      <c r="B273" s="227"/>
      <c r="C273" s="228"/>
      <c r="D273" s="228"/>
      <c r="E273" s="228"/>
      <c r="F273" s="228"/>
      <c r="G273" s="228"/>
      <c r="H273" s="214"/>
      <c r="I273" s="214"/>
      <c r="J273" s="214"/>
      <c r="K273" s="214"/>
      <c r="L273" s="214"/>
      <c r="M273" s="214"/>
      <c r="N273" s="214"/>
      <c r="O273" s="214"/>
    </row>
    <row r="274" ht="15.75" customHeight="1" spans="1:15" x14ac:dyDescent="0.25">
      <c r="A274" s="214"/>
      <c r="B274" s="227"/>
      <c r="C274" s="228"/>
      <c r="D274" s="228"/>
      <c r="E274" s="228"/>
      <c r="F274" s="228"/>
      <c r="G274" s="228"/>
      <c r="H274" s="214"/>
      <c r="I274" s="214"/>
      <c r="J274" s="214"/>
      <c r="K274" s="214"/>
      <c r="L274" s="214"/>
      <c r="M274" s="214"/>
      <c r="N274" s="214"/>
      <c r="O274" s="214"/>
    </row>
    <row r="275" ht="15.75" customHeight="1" spans="1:15" x14ac:dyDescent="0.25">
      <c r="A275" s="214"/>
      <c r="B275" s="227"/>
      <c r="C275" s="228"/>
      <c r="D275" s="228"/>
      <c r="E275" s="228"/>
      <c r="F275" s="228"/>
      <c r="G275" s="228"/>
      <c r="H275" s="214"/>
      <c r="I275" s="214"/>
      <c r="J275" s="214"/>
      <c r="K275" s="214"/>
      <c r="L275" s="214"/>
      <c r="M275" s="214"/>
      <c r="N275" s="214"/>
      <c r="O275" s="214"/>
    </row>
    <row r="276" ht="15.75" customHeight="1" spans="1:15" x14ac:dyDescent="0.25">
      <c r="A276" s="214"/>
      <c r="B276" s="227"/>
      <c r="C276" s="228"/>
      <c r="D276" s="228"/>
      <c r="E276" s="228"/>
      <c r="F276" s="228"/>
      <c r="G276" s="228"/>
      <c r="H276" s="214"/>
      <c r="I276" s="214"/>
      <c r="J276" s="214"/>
      <c r="K276" s="214"/>
      <c r="L276" s="214"/>
      <c r="M276" s="214"/>
      <c r="N276" s="214"/>
      <c r="O276" s="214"/>
    </row>
    <row r="277" ht="15.75" customHeight="1" spans="1:15" x14ac:dyDescent="0.25">
      <c r="A277" s="214"/>
      <c r="B277" s="227"/>
      <c r="C277" s="228"/>
      <c r="D277" s="228"/>
      <c r="E277" s="228"/>
      <c r="F277" s="228"/>
      <c r="G277" s="228"/>
      <c r="H277" s="214"/>
      <c r="I277" s="214"/>
      <c r="J277" s="214"/>
      <c r="K277" s="214"/>
      <c r="L277" s="214"/>
      <c r="M277" s="214"/>
      <c r="N277" s="214"/>
      <c r="O277" s="214"/>
    </row>
    <row r="278" ht="15.75" customHeight="1" spans="1:15" x14ac:dyDescent="0.25">
      <c r="A278" s="214"/>
      <c r="B278" s="227"/>
      <c r="C278" s="228"/>
      <c r="D278" s="228"/>
      <c r="E278" s="228"/>
      <c r="F278" s="228"/>
      <c r="G278" s="228"/>
      <c r="H278" s="214"/>
      <c r="I278" s="214"/>
      <c r="J278" s="214"/>
      <c r="K278" s="214"/>
      <c r="L278" s="214"/>
      <c r="M278" s="214"/>
      <c r="N278" s="214"/>
      <c r="O278" s="214"/>
    </row>
    <row r="279" ht="15.75" customHeight="1" spans="1:15" x14ac:dyDescent="0.25">
      <c r="A279" s="214"/>
      <c r="B279" s="227"/>
      <c r="C279" s="228"/>
      <c r="D279" s="228"/>
      <c r="E279" s="228"/>
      <c r="F279" s="228"/>
      <c r="G279" s="228"/>
      <c r="H279" s="214"/>
      <c r="I279" s="214"/>
      <c r="J279" s="214"/>
      <c r="K279" s="214"/>
      <c r="L279" s="214"/>
      <c r="M279" s="214"/>
      <c r="N279" s="214"/>
      <c r="O279" s="214"/>
    </row>
    <row r="280" ht="15.75" customHeight="1" spans="1:15" x14ac:dyDescent="0.25">
      <c r="A280" s="214"/>
      <c r="B280" s="227"/>
      <c r="C280" s="228"/>
      <c r="D280" s="228"/>
      <c r="E280" s="228"/>
      <c r="F280" s="228"/>
      <c r="G280" s="228"/>
      <c r="H280" s="214"/>
      <c r="I280" s="214"/>
      <c r="J280" s="214"/>
      <c r="K280" s="214"/>
      <c r="L280" s="214"/>
      <c r="M280" s="214"/>
      <c r="N280" s="214"/>
      <c r="O280" s="214"/>
    </row>
    <row r="281" ht="15.75" customHeight="1" spans="1:15" x14ac:dyDescent="0.25">
      <c r="A281" s="214"/>
      <c r="B281" s="227"/>
      <c r="C281" s="228"/>
      <c r="D281" s="228"/>
      <c r="E281" s="228"/>
      <c r="F281" s="228"/>
      <c r="G281" s="228"/>
      <c r="H281" s="214"/>
      <c r="I281" s="214"/>
      <c r="J281" s="214"/>
      <c r="K281" s="214"/>
      <c r="L281" s="214"/>
      <c r="M281" s="214"/>
      <c r="N281" s="214"/>
      <c r="O281" s="214"/>
    </row>
    <row r="282" ht="15.75" customHeight="1" spans="1:15" x14ac:dyDescent="0.25">
      <c r="A282" s="214"/>
      <c r="B282" s="227"/>
      <c r="C282" s="228"/>
      <c r="D282" s="228"/>
      <c r="E282" s="228"/>
      <c r="F282" s="228"/>
      <c r="G282" s="228"/>
      <c r="H282" s="214"/>
      <c r="I282" s="214"/>
      <c r="J282" s="214"/>
      <c r="K282" s="214"/>
      <c r="L282" s="214"/>
      <c r="M282" s="214"/>
      <c r="N282" s="214"/>
      <c r="O282" s="214"/>
    </row>
    <row r="283" ht="15.75" customHeight="1" spans="1:15" x14ac:dyDescent="0.25">
      <c r="A283" s="214"/>
      <c r="B283" s="227"/>
      <c r="C283" s="228"/>
      <c r="D283" s="228"/>
      <c r="E283" s="228"/>
      <c r="F283" s="228"/>
      <c r="G283" s="228"/>
      <c r="H283" s="214"/>
      <c r="I283" s="214"/>
      <c r="J283" s="214"/>
      <c r="K283" s="214"/>
      <c r="L283" s="214"/>
      <c r="M283" s="214"/>
      <c r="N283" s="214"/>
      <c r="O283" s="214"/>
    </row>
    <row r="284" ht="15.75" customHeight="1" spans="1:15" x14ac:dyDescent="0.25">
      <c r="A284" s="214"/>
      <c r="B284" s="227"/>
      <c r="C284" s="228"/>
      <c r="D284" s="228"/>
      <c r="E284" s="228"/>
      <c r="F284" s="228"/>
      <c r="G284" s="228"/>
      <c r="H284" s="214"/>
      <c r="I284" s="214"/>
      <c r="J284" s="214"/>
      <c r="K284" s="214"/>
      <c r="L284" s="214"/>
      <c r="M284" s="214"/>
      <c r="N284" s="214"/>
      <c r="O284" s="214"/>
    </row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2:B10"/>
    <mergeCell ref="B11:B17"/>
    <mergeCell ref="B18:B23"/>
    <mergeCell ref="B24:B29"/>
    <mergeCell ref="B30:B36"/>
    <mergeCell ref="B37:B39"/>
    <mergeCell ref="B40:B45"/>
    <mergeCell ref="B46:B53"/>
    <mergeCell ref="B54:B61"/>
    <mergeCell ref="B62:B66"/>
    <mergeCell ref="B67:B75"/>
    <mergeCell ref="B76:B84"/>
  </mergeCells>
  <printOptions gridLines="1" horizontalCentered="1"/>
  <pageMargins left="0.7" right="0.7" top="0.75" bottom="0.75" header="0" footer="0"/>
  <pageSetup paperSize="8" orientation="landscape" horizontalDpi="4294967295" verticalDpi="4294967295" pageOrder="overThenDown" cellComments="atEnd" scale="100" fitToWidth="1" fitToHeight="0" firstPageNumber="1" useFirstPageNumber="1" copies="1"/>
  <tableParts count="1">
    <tablePart r:id="rId1"/>
  </tablePart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193">
        <v>257</v>
      </c>
      <c r="D4" s="193">
        <v>96</v>
      </c>
      <c r="E4" s="193">
        <v>92</v>
      </c>
      <c r="F4" s="194">
        <v>89</v>
      </c>
      <c r="G4" s="193">
        <v>67</v>
      </c>
      <c r="H4" s="193">
        <v>71</v>
      </c>
      <c r="I4" s="193">
        <v>62</v>
      </c>
      <c r="J4" s="194">
        <v>66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198">
        <v>291</v>
      </c>
      <c r="D5" s="198">
        <v>92</v>
      </c>
      <c r="E5" s="198">
        <v>85</v>
      </c>
      <c r="F5" s="199">
        <v>83</v>
      </c>
      <c r="G5" s="198">
        <v>64</v>
      </c>
      <c r="H5" s="198">
        <v>67</v>
      </c>
      <c r="I5" s="198">
        <v>64</v>
      </c>
      <c r="J5" s="199">
        <v>70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198">
        <v>274</v>
      </c>
      <c r="D6" s="198">
        <v>97</v>
      </c>
      <c r="E6" s="198">
        <v>87</v>
      </c>
      <c r="F6" s="199">
        <v>89</v>
      </c>
      <c r="G6" s="198">
        <v>68</v>
      </c>
      <c r="H6" s="198">
        <v>71</v>
      </c>
      <c r="I6" s="198">
        <v>64</v>
      </c>
      <c r="J6" s="199">
        <v>73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198">
        <v>251</v>
      </c>
      <c r="D7" s="198">
        <v>95</v>
      </c>
      <c r="E7" s="198">
        <v>94</v>
      </c>
      <c r="F7" s="199">
        <v>95</v>
      </c>
      <c r="G7" s="198">
        <v>64</v>
      </c>
      <c r="H7" s="198">
        <v>72</v>
      </c>
      <c r="I7" s="198">
        <v>70</v>
      </c>
      <c r="J7" s="199">
        <v>67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198">
        <v>261</v>
      </c>
      <c r="D8" s="198">
        <v>91</v>
      </c>
      <c r="E8" s="198">
        <v>94</v>
      </c>
      <c r="F8" s="199">
        <v>97</v>
      </c>
      <c r="G8" s="198">
        <v>70</v>
      </c>
      <c r="H8" s="198">
        <v>65</v>
      </c>
      <c r="I8" s="198">
        <v>69</v>
      </c>
      <c r="J8" s="199">
        <v>71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198">
        <v>290</v>
      </c>
      <c r="D9" s="198">
        <v>87</v>
      </c>
      <c r="E9" s="198">
        <v>84</v>
      </c>
      <c r="F9" s="199">
        <v>97</v>
      </c>
      <c r="G9" s="198">
        <v>63</v>
      </c>
      <c r="H9" s="198">
        <v>63</v>
      </c>
      <c r="I9" s="198">
        <v>65</v>
      </c>
      <c r="J9" s="199">
        <v>63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198">
        <v>271</v>
      </c>
      <c r="D10" s="198">
        <v>87</v>
      </c>
      <c r="E10" s="198">
        <v>90</v>
      </c>
      <c r="F10" s="199">
        <v>90</v>
      </c>
      <c r="G10" s="198">
        <v>67</v>
      </c>
      <c r="H10" s="198">
        <v>62</v>
      </c>
      <c r="I10" s="198">
        <v>71</v>
      </c>
      <c r="J10" s="199">
        <v>71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198">
        <v>287</v>
      </c>
      <c r="D11" s="198">
        <v>93</v>
      </c>
      <c r="E11" s="198">
        <v>92</v>
      </c>
      <c r="F11" s="199">
        <v>95</v>
      </c>
      <c r="G11" s="198">
        <v>69</v>
      </c>
      <c r="H11" s="198">
        <v>69</v>
      </c>
      <c r="I11" s="198">
        <v>71</v>
      </c>
      <c r="J11" s="199">
        <v>70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198">
        <v>281</v>
      </c>
      <c r="D12" s="198">
        <v>95</v>
      </c>
      <c r="E12" s="198">
        <v>90</v>
      </c>
      <c r="F12" s="199">
        <v>92</v>
      </c>
      <c r="G12" s="198">
        <v>63</v>
      </c>
      <c r="H12" s="198">
        <v>73</v>
      </c>
      <c r="I12" s="198">
        <v>64</v>
      </c>
      <c r="J12" s="199">
        <v>63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198">
        <v>291</v>
      </c>
      <c r="D13" s="198">
        <v>91</v>
      </c>
      <c r="E13" s="198">
        <v>86</v>
      </c>
      <c r="F13" s="199">
        <v>93</v>
      </c>
      <c r="G13" s="198">
        <v>70</v>
      </c>
      <c r="H13" s="198">
        <v>66</v>
      </c>
      <c r="I13" s="198">
        <v>70</v>
      </c>
      <c r="J13" s="199">
        <v>72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198">
        <v>278</v>
      </c>
      <c r="D14" s="198">
        <v>93</v>
      </c>
      <c r="E14" s="198">
        <v>90</v>
      </c>
      <c r="F14" s="199">
        <v>87</v>
      </c>
      <c r="G14" s="198">
        <v>64</v>
      </c>
      <c r="H14" s="198">
        <v>70</v>
      </c>
      <c r="I14" s="198">
        <v>71</v>
      </c>
      <c r="J14" s="199">
        <v>72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291</v>
      </c>
      <c r="D15" s="206">
        <v>87</v>
      </c>
      <c r="E15" s="206">
        <v>97</v>
      </c>
      <c r="F15" s="207">
        <v>87</v>
      </c>
      <c r="G15" s="206">
        <v>68</v>
      </c>
      <c r="H15" s="206">
        <v>72</v>
      </c>
      <c r="I15" s="206">
        <v>64</v>
      </c>
      <c r="J15" s="207">
        <v>69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821</v>
      </c>
      <c r="C16" s="229">
        <f t="shared" ref="C16:K16" si="0">IFERROR(AVERAGE(C4:C15),0)</f>
        <v>276.9166667</v>
      </c>
      <c r="D16" s="229">
        <f t="shared" si="0"/>
        <v>92</v>
      </c>
      <c r="E16" s="229">
        <f t="shared" si="0"/>
        <v>90.08333333</v>
      </c>
      <c r="F16" s="229">
        <f t="shared" si="0"/>
        <v>91.16666667</v>
      </c>
      <c r="G16" s="229">
        <f t="shared" si="0"/>
        <v>66.41666667</v>
      </c>
      <c r="H16" s="229">
        <f t="shared" si="0"/>
        <v>68.41666667</v>
      </c>
      <c r="I16" s="229">
        <f t="shared" si="0"/>
        <v>67.08333333</v>
      </c>
      <c r="J16" s="229">
        <f t="shared" si="0"/>
        <v>68.91666667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239">
        <v>46160</v>
      </c>
      <c r="C4" s="193">
        <v>233</v>
      </c>
      <c r="D4" s="193">
        <v>72</v>
      </c>
      <c r="E4" s="193">
        <v>70</v>
      </c>
      <c r="F4" s="194">
        <v>78</v>
      </c>
      <c r="G4" s="193">
        <v>63</v>
      </c>
      <c r="H4" s="193">
        <v>53</v>
      </c>
      <c r="I4" s="193">
        <v>64</v>
      </c>
      <c r="J4" s="194">
        <v>55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239">
        <v>46162</v>
      </c>
      <c r="C5" s="198">
        <v>230</v>
      </c>
      <c r="D5" s="198">
        <v>82</v>
      </c>
      <c r="E5" s="198">
        <v>73</v>
      </c>
      <c r="F5" s="199">
        <v>81</v>
      </c>
      <c r="G5" s="198">
        <v>58</v>
      </c>
      <c r="H5" s="198">
        <v>59</v>
      </c>
      <c r="I5" s="198">
        <v>55</v>
      </c>
      <c r="J5" s="199">
        <v>60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39">
        <v>46163</v>
      </c>
      <c r="C6" s="198">
        <v>228</v>
      </c>
      <c r="D6" s="198">
        <v>74</v>
      </c>
      <c r="E6" s="198">
        <v>80</v>
      </c>
      <c r="F6" s="199">
        <v>72</v>
      </c>
      <c r="G6" s="198">
        <v>60</v>
      </c>
      <c r="H6" s="198">
        <v>52</v>
      </c>
      <c r="I6" s="198">
        <v>59</v>
      </c>
      <c r="J6" s="199">
        <v>60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39">
        <v>46164</v>
      </c>
      <c r="C7" s="198">
        <v>242</v>
      </c>
      <c r="D7" s="198">
        <v>83</v>
      </c>
      <c r="E7" s="198">
        <v>74</v>
      </c>
      <c r="F7" s="199">
        <v>72</v>
      </c>
      <c r="G7" s="198">
        <v>53</v>
      </c>
      <c r="H7" s="198">
        <v>54</v>
      </c>
      <c r="I7" s="198">
        <v>59</v>
      </c>
      <c r="J7" s="199">
        <v>57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39">
        <v>46167</v>
      </c>
      <c r="C8" s="198">
        <v>220</v>
      </c>
      <c r="D8" s="198">
        <v>80</v>
      </c>
      <c r="E8" s="198">
        <v>78</v>
      </c>
      <c r="F8" s="199">
        <v>77</v>
      </c>
      <c r="G8" s="198">
        <v>62</v>
      </c>
      <c r="H8" s="198">
        <v>59</v>
      </c>
      <c r="I8" s="198">
        <v>61</v>
      </c>
      <c r="J8" s="199">
        <v>60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239">
        <v>46169</v>
      </c>
      <c r="C9" s="198">
        <v>248</v>
      </c>
      <c r="D9" s="198">
        <v>73</v>
      </c>
      <c r="E9" s="198">
        <v>77</v>
      </c>
      <c r="F9" s="199">
        <v>81</v>
      </c>
      <c r="G9" s="198">
        <v>58</v>
      </c>
      <c r="H9" s="198">
        <v>55</v>
      </c>
      <c r="I9" s="198">
        <v>63</v>
      </c>
      <c r="J9" s="199">
        <v>63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239">
        <v>46170</v>
      </c>
      <c r="C10" s="198">
        <v>247</v>
      </c>
      <c r="D10" s="198">
        <v>69</v>
      </c>
      <c r="E10" s="198">
        <v>77</v>
      </c>
      <c r="F10" s="199">
        <v>85</v>
      </c>
      <c r="G10" s="198">
        <v>62</v>
      </c>
      <c r="H10" s="198">
        <v>64</v>
      </c>
      <c r="I10" s="198">
        <v>54</v>
      </c>
      <c r="J10" s="199">
        <v>61</v>
      </c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239">
        <v>46171</v>
      </c>
      <c r="C11" s="198">
        <v>211</v>
      </c>
      <c r="D11" s="198">
        <v>84</v>
      </c>
      <c r="E11" s="198">
        <v>76</v>
      </c>
      <c r="F11" s="199">
        <v>77</v>
      </c>
      <c r="G11" s="198">
        <v>59</v>
      </c>
      <c r="H11" s="198">
        <v>53</v>
      </c>
      <c r="I11" s="198">
        <v>54</v>
      </c>
      <c r="J11" s="199">
        <v>59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239">
        <v>46174</v>
      </c>
      <c r="C12" s="198">
        <v>249</v>
      </c>
      <c r="D12" s="198">
        <v>70</v>
      </c>
      <c r="E12" s="198">
        <v>81</v>
      </c>
      <c r="F12" s="199">
        <v>74</v>
      </c>
      <c r="G12" s="198">
        <v>57</v>
      </c>
      <c r="H12" s="198">
        <v>61</v>
      </c>
      <c r="I12" s="198">
        <v>60</v>
      </c>
      <c r="J12" s="199">
        <v>60</v>
      </c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239">
        <v>46176</v>
      </c>
      <c r="C13" s="198">
        <v>219</v>
      </c>
      <c r="D13" s="198">
        <v>81</v>
      </c>
      <c r="E13" s="198">
        <v>74</v>
      </c>
      <c r="F13" s="199">
        <v>71</v>
      </c>
      <c r="G13" s="198">
        <v>57</v>
      </c>
      <c r="H13" s="198">
        <v>59</v>
      </c>
      <c r="I13" s="198">
        <v>54</v>
      </c>
      <c r="J13" s="199">
        <v>63</v>
      </c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239">
        <v>46177</v>
      </c>
      <c r="C14" s="198">
        <v>229</v>
      </c>
      <c r="D14" s="198">
        <v>77</v>
      </c>
      <c r="E14" s="198">
        <v>80</v>
      </c>
      <c r="F14" s="199">
        <v>72</v>
      </c>
      <c r="G14" s="198">
        <v>54</v>
      </c>
      <c r="H14" s="198">
        <v>61</v>
      </c>
      <c r="I14" s="198">
        <v>54</v>
      </c>
      <c r="J14" s="199">
        <v>57</v>
      </c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39">
        <v>46178</v>
      </c>
      <c r="C15" s="206">
        <v>236</v>
      </c>
      <c r="D15" s="206">
        <v>81</v>
      </c>
      <c r="E15" s="206">
        <v>73</v>
      </c>
      <c r="F15" s="207">
        <v>73</v>
      </c>
      <c r="G15" s="206">
        <v>52</v>
      </c>
      <c r="H15" s="206">
        <v>54</v>
      </c>
      <c r="I15" s="206">
        <v>53</v>
      </c>
      <c r="J15" s="207">
        <v>58</v>
      </c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693.8333333</v>
      </c>
      <c r="C16" s="229">
        <f t="shared" ref="C16:K16" si="0">IFERROR(AVERAGE(C4:C15),0)</f>
        <v>232.6666667</v>
      </c>
      <c r="D16" s="229">
        <f t="shared" si="0"/>
        <v>77.16666667</v>
      </c>
      <c r="E16" s="229">
        <f t="shared" si="0"/>
        <v>76.08333333</v>
      </c>
      <c r="F16" s="229">
        <f t="shared" si="0"/>
        <v>76.08333333</v>
      </c>
      <c r="G16" s="229">
        <f t="shared" si="0"/>
        <v>57.91666667</v>
      </c>
      <c r="H16" s="229">
        <f t="shared" si="0"/>
        <v>57</v>
      </c>
      <c r="I16" s="229">
        <f t="shared" si="0"/>
        <v>57.5</v>
      </c>
      <c r="J16" s="229">
        <f t="shared" si="0"/>
        <v>59.41666667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261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193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195"/>
      <c r="L4" s="177"/>
      <c r="M4" s="177"/>
      <c r="N4" s="261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193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198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8">
        <v>60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198">
        <v>225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8">
        <v>60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198">
        <v>210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8">
        <v>60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/>
      <c r="D9" s="198"/>
      <c r="E9" s="198"/>
      <c r="F9" s="199"/>
      <c r="G9" s="198"/>
      <c r="H9" s="198"/>
      <c r="I9" s="198"/>
      <c r="J9" s="199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731</v>
      </c>
      <c r="C16" s="229">
        <f t="shared" ref="C16:K16" si="0">IFERROR(AVERAGE(C4:C15),0)</f>
        <v>225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56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193">
        <v>231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193">
        <v>231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225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198">
        <v>210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198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198"/>
      <c r="D9" s="198"/>
      <c r="E9" s="198"/>
      <c r="F9" s="199"/>
      <c r="G9" s="198"/>
      <c r="H9" s="198"/>
      <c r="I9" s="198"/>
      <c r="J9" s="199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198"/>
      <c r="D10" s="198"/>
      <c r="E10" s="198"/>
      <c r="F10" s="199"/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198"/>
      <c r="D11" s="198"/>
      <c r="E11" s="198"/>
      <c r="F11" s="199"/>
      <c r="G11" s="198"/>
      <c r="H11" s="198"/>
      <c r="I11" s="198"/>
      <c r="J11" s="199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198"/>
      <c r="D12" s="198"/>
      <c r="E12" s="198"/>
      <c r="F12" s="199"/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198"/>
      <c r="D13" s="198"/>
      <c r="E13" s="198"/>
      <c r="F13" s="199"/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198"/>
      <c r="D14" s="198"/>
      <c r="E14" s="198"/>
      <c r="F14" s="199"/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06"/>
      <c r="D15" s="206"/>
      <c r="E15" s="206"/>
      <c r="F15" s="207"/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727.4</v>
      </c>
      <c r="C16" s="229">
        <f t="shared" ref="C16:K16" si="0">IFERROR(AVERAGE(C4:C15),0)</f>
        <v>227.4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240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240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240</v>
      </c>
      <c r="D6" s="193">
        <v>100</v>
      </c>
      <c r="E6" s="245">
        <v>90</v>
      </c>
      <c r="F6" s="241">
        <v>90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736</v>
      </c>
      <c r="C16" s="229">
        <f t="shared" ref="C16:K16" si="0">IFERROR(AVERAGE(C4:C15),0)</f>
        <v>240</v>
      </c>
      <c r="D16" s="229">
        <f t="shared" si="0"/>
        <v>100</v>
      </c>
      <c r="E16" s="229">
        <f t="shared" si="0"/>
        <v>98</v>
      </c>
      <c r="F16" s="229">
        <f t="shared" si="0"/>
        <v>98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245">
        <v>70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225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245">
        <v>70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245">
        <v>70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743</v>
      </c>
      <c r="C16" s="229">
        <f t="shared" ref="C16:K16" si="0">IFERROR(AVERAGE(C4:C15),0)</f>
        <v>231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62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240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240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240</v>
      </c>
      <c r="D6" s="193">
        <v>100</v>
      </c>
      <c r="E6" s="245">
        <v>90</v>
      </c>
      <c r="F6" s="241">
        <v>90</v>
      </c>
      <c r="G6" s="193">
        <v>50</v>
      </c>
      <c r="H6" s="193">
        <v>50</v>
      </c>
      <c r="I6" s="245">
        <v>70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245">
        <v>70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245">
        <v>70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748</v>
      </c>
      <c r="C16" s="229">
        <f t="shared" ref="C16:K16" si="0">IFERROR(AVERAGE(C4:C15),0)</f>
        <v>240</v>
      </c>
      <c r="D16" s="229">
        <f t="shared" si="0"/>
        <v>100</v>
      </c>
      <c r="E16" s="229">
        <f t="shared" si="0"/>
        <v>98</v>
      </c>
      <c r="F16" s="229">
        <f t="shared" si="0"/>
        <v>98</v>
      </c>
      <c r="G16" s="229">
        <f t="shared" si="0"/>
        <v>50</v>
      </c>
      <c r="H16" s="229">
        <f t="shared" si="0"/>
        <v>50</v>
      </c>
      <c r="I16" s="229">
        <f t="shared" si="0"/>
        <v>62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240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240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210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225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731</v>
      </c>
      <c r="C16" s="229">
        <f t="shared" ref="C16:K16" si="0">IFERROR(AVERAGE(C4:C15),0)</f>
        <v>231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231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231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240</v>
      </c>
      <c r="D6" s="193">
        <v>100</v>
      </c>
      <c r="E6" s="245">
        <v>90</v>
      </c>
      <c r="F6" s="241">
        <v>90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210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726.4</v>
      </c>
      <c r="C16" s="229">
        <f t="shared" ref="C16:K16" si="0">IFERROR(AVERAGE(C4:C15),0)</f>
        <v>230.4</v>
      </c>
      <c r="D16" s="229">
        <f t="shared" si="0"/>
        <v>100</v>
      </c>
      <c r="E16" s="229">
        <f t="shared" si="0"/>
        <v>98</v>
      </c>
      <c r="F16" s="229">
        <f t="shared" si="0"/>
        <v>98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240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240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225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245">
        <v>70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245">
        <v>70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245">
        <v>70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749</v>
      </c>
      <c r="C16" s="229">
        <f t="shared" ref="C16:K16" si="0">IFERROR(AVERAGE(C4:C15),0)</f>
        <v>237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62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31.38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856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80</v>
      </c>
      <c r="F4" s="194">
        <v>80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0</v>
      </c>
      <c r="E5" s="198">
        <v>75</v>
      </c>
      <c r="F5" s="199">
        <v>75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46201</v>
      </c>
      <c r="C6" s="198"/>
      <c r="D6" s="198">
        <v>75</v>
      </c>
      <c r="E6" s="198">
        <v>75</v>
      </c>
      <c r="F6" s="199">
        <v>75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75</v>
      </c>
      <c r="E7" s="198">
        <v>0</v>
      </c>
      <c r="F7" s="199">
        <v>55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75</v>
      </c>
      <c r="E8" s="198">
        <v>0</v>
      </c>
      <c r="F8" s="199">
        <v>55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300</v>
      </c>
      <c r="D9" s="198">
        <v>75</v>
      </c>
      <c r="E9" s="198">
        <v>0</v>
      </c>
      <c r="F9" s="199">
        <v>65</v>
      </c>
      <c r="G9" s="198">
        <v>75</v>
      </c>
      <c r="H9" s="198">
        <v>75</v>
      </c>
      <c r="I9" s="198">
        <v>55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65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280</v>
      </c>
      <c r="D11" s="198">
        <v>60</v>
      </c>
      <c r="E11" s="198">
        <v>65</v>
      </c>
      <c r="F11" s="199">
        <v>65</v>
      </c>
      <c r="G11" s="198">
        <v>75</v>
      </c>
      <c r="H11" s="198">
        <v>75</v>
      </c>
      <c r="I11" s="198">
        <v>60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60</v>
      </c>
      <c r="E12" s="198">
        <v>75</v>
      </c>
      <c r="F12" s="199">
        <v>75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60</v>
      </c>
      <c r="E13" s="198">
        <v>75</v>
      </c>
      <c r="F13" s="199">
        <v>75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270</v>
      </c>
      <c r="D14" s="198">
        <v>60</v>
      </c>
      <c r="E14" s="198">
        <v>75</v>
      </c>
      <c r="F14" s="199">
        <v>75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60</v>
      </c>
      <c r="E15" s="206">
        <v>75</v>
      </c>
      <c r="F15" s="207">
        <v>55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747.9166667</v>
      </c>
      <c r="C16" s="210">
        <f t="shared" ref="C16:K16" si="0">IFERROR(AVERAGE(C4:C15),0)</f>
        <v>283.3333333</v>
      </c>
      <c r="D16" s="210">
        <f t="shared" si="0"/>
        <v>64.58333333</v>
      </c>
      <c r="E16" s="210">
        <f t="shared" si="0"/>
        <v>49.58333333</v>
      </c>
      <c r="F16" s="210">
        <f t="shared" si="0"/>
        <v>67.91666667</v>
      </c>
      <c r="G16" s="210">
        <f t="shared" si="0"/>
        <v>75</v>
      </c>
      <c r="H16" s="210">
        <f t="shared" si="0"/>
        <v>75</v>
      </c>
      <c r="I16" s="210">
        <f t="shared" si="0"/>
        <v>57.5</v>
      </c>
      <c r="J16" s="210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  <printOptions gridLines="1" horizontalCentered="1"/>
  <pageMargins left="0.7" right="0.7" top="0.75" bottom="0.75" header="0" footer="0"/>
  <pageSetup paperSize="9" orientation="landscape" horizontalDpi="4294967295" verticalDpi="4294967295" pageOrder="overThenDown" cellComments="atEnd" scale="100" fitToWidth="1" fitToHeight="0" firstPageNumber="1" useFirstPageNumber="1" copies="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231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231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225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245">
        <v>70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245">
        <v>70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225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245">
        <v>70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742.4</v>
      </c>
      <c r="C16" s="229">
        <f t="shared" ref="C16:K16" si="0">IFERROR(AVERAGE(C4:C15),0)</f>
        <v>230.4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62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225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731</v>
      </c>
      <c r="C16" s="229">
        <f t="shared" ref="C16:K16" si="0">IFERROR(AVERAGE(C4:C15),0)</f>
        <v>231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231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231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46223</v>
      </c>
      <c r="C7" s="261">
        <v>225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46225</v>
      </c>
      <c r="C8" s="261">
        <v>210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727.4</v>
      </c>
      <c r="C16" s="229">
        <f t="shared" ref="C16:K16" si="0">IFERROR(AVERAGE(C4:C15),0)</f>
        <v>227.4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734</v>
      </c>
      <c r="C16" s="229">
        <f t="shared" ref="C16:K16" si="0">IFERROR(AVERAGE(C4:C15),0)</f>
        <v>234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240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240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740</v>
      </c>
      <c r="C16" s="229">
        <f t="shared" ref="C16:K16" si="0">IFERROR(AVERAGE(C4:C15),0)</f>
        <v>240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225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61">
        <v>225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728</v>
      </c>
      <c r="C16" s="229">
        <f t="shared" ref="C16:K16" si="0">IFERROR(AVERAGE(C4:C15),0)</f>
        <v>228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225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6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731</v>
      </c>
      <c r="C16" s="229">
        <f t="shared" ref="C16:K16" si="0">IFERROR(AVERAGE(C4:C15),0)</f>
        <v>231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231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231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240</v>
      </c>
      <c r="D6" s="193">
        <v>100</v>
      </c>
      <c r="E6" s="193">
        <v>100</v>
      </c>
      <c r="F6" s="194">
        <v>100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210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61">
        <v>225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727.4</v>
      </c>
      <c r="C16" s="229">
        <f t="shared" ref="C16:K16" si="0">IFERROR(AVERAGE(C4:C15),0)</f>
        <v>227.4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240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240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225</v>
      </c>
      <c r="D6" s="193">
        <v>100</v>
      </c>
      <c r="E6" s="245">
        <v>90</v>
      </c>
      <c r="F6" s="241">
        <v>90</v>
      </c>
      <c r="G6" s="193">
        <v>50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240</v>
      </c>
      <c r="D7" s="193">
        <v>100</v>
      </c>
      <c r="E7" s="193">
        <v>100</v>
      </c>
      <c r="F7" s="194">
        <v>100</v>
      </c>
      <c r="G7" s="193">
        <v>50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41">
        <v>240</v>
      </c>
      <c r="D8" s="193">
        <v>100</v>
      </c>
      <c r="E8" s="193">
        <v>100</v>
      </c>
      <c r="F8" s="194">
        <v>100</v>
      </c>
      <c r="G8" s="193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733</v>
      </c>
      <c r="C16" s="229">
        <f t="shared" ref="C16:K16" si="0">IFERROR(AVERAGE(C4:C15),0)</f>
        <v>237</v>
      </c>
      <c r="D16" s="229">
        <f t="shared" si="0"/>
        <v>100</v>
      </c>
      <c r="E16" s="229">
        <f t="shared" si="0"/>
        <v>98</v>
      </c>
      <c r="F16" s="229">
        <f t="shared" si="0"/>
        <v>98</v>
      </c>
      <c r="G16" s="229">
        <f t="shared" si="0"/>
        <v>50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topLeftCell="C1" activePane="topRight" state="frozen"/>
      <selection pane="topRight" activeCell="D2" sqref="D2"/>
    </sheetView>
  </sheetViews>
  <sheetFormatPr defaultRowHeight="15" outlineLevelRow="0" outlineLevelCol="0" x14ac:dyDescent="0" defaultColWidth="12.63"/>
  <cols>
    <col min="1" max="1" width="7.5" customWidth="1"/>
    <col min="2" max="2" width="18.13" customWidth="1"/>
    <col min="3" max="3" width="14.88" customWidth="1"/>
    <col min="4" max="11" width="12.88" customWidth="1"/>
  </cols>
  <sheetData>
    <row r="1" ht="15.75" customHeight="1" spans="1:26" x14ac:dyDescent="0.25">
      <c r="A1" s="233" t="s">
        <v>625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96"/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234"/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46216</v>
      </c>
      <c r="C4" s="242">
        <v>225</v>
      </c>
      <c r="D4" s="193">
        <v>100</v>
      </c>
      <c r="E4" s="193">
        <v>100</v>
      </c>
      <c r="F4" s="194">
        <v>100</v>
      </c>
      <c r="G4" s="193">
        <v>50</v>
      </c>
      <c r="H4" s="193">
        <v>50</v>
      </c>
      <c r="I4" s="193">
        <v>50</v>
      </c>
      <c r="J4" s="194">
        <v>50</v>
      </c>
      <c r="K4" s="244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46218</v>
      </c>
      <c r="C5" s="241">
        <v>225</v>
      </c>
      <c r="D5" s="193">
        <v>100</v>
      </c>
      <c r="E5" s="193">
        <v>100</v>
      </c>
      <c r="F5" s="194">
        <v>100</v>
      </c>
      <c r="G5" s="193">
        <v>50</v>
      </c>
      <c r="H5" s="193">
        <v>50</v>
      </c>
      <c r="I5" s="193">
        <v>50</v>
      </c>
      <c r="J5" s="194">
        <v>50</v>
      </c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264">
        <v>46221</v>
      </c>
      <c r="C6" s="261">
        <v>240</v>
      </c>
      <c r="D6" s="193">
        <v>100</v>
      </c>
      <c r="E6" s="193">
        <v>100</v>
      </c>
      <c r="F6" s="194">
        <v>100</v>
      </c>
      <c r="G6" s="241">
        <v>30</v>
      </c>
      <c r="H6" s="193">
        <v>50</v>
      </c>
      <c r="I6" s="193">
        <v>50</v>
      </c>
      <c r="J6" s="194">
        <v>50</v>
      </c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264">
        <v>46223</v>
      </c>
      <c r="C7" s="261">
        <v>225</v>
      </c>
      <c r="D7" s="193">
        <v>100</v>
      </c>
      <c r="E7" s="193">
        <v>100</v>
      </c>
      <c r="F7" s="194">
        <v>100</v>
      </c>
      <c r="G7" s="241">
        <v>30</v>
      </c>
      <c r="H7" s="193">
        <v>50</v>
      </c>
      <c r="I7" s="193">
        <v>50</v>
      </c>
      <c r="J7" s="194">
        <v>50</v>
      </c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264">
        <v>46225</v>
      </c>
      <c r="C8" s="261">
        <v>225</v>
      </c>
      <c r="D8" s="193">
        <v>100</v>
      </c>
      <c r="E8" s="193">
        <v>100</v>
      </c>
      <c r="F8" s="194">
        <v>100</v>
      </c>
      <c r="G8" s="241">
        <v>50</v>
      </c>
      <c r="H8" s="193">
        <v>50</v>
      </c>
      <c r="I8" s="193">
        <v>50</v>
      </c>
      <c r="J8" s="194">
        <v>50</v>
      </c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/>
      <c r="C9" s="241"/>
      <c r="D9" s="241"/>
      <c r="E9" s="245"/>
      <c r="F9" s="241"/>
      <c r="G9" s="241"/>
      <c r="H9" s="241"/>
      <c r="I9" s="245"/>
      <c r="J9" s="245"/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/>
      <c r="C10" s="241"/>
      <c r="D10" s="241"/>
      <c r="E10" s="245"/>
      <c r="F10" s="241"/>
      <c r="G10" s="241"/>
      <c r="H10" s="241"/>
      <c r="I10" s="245"/>
      <c r="J10" s="245"/>
      <c r="K10" s="246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/>
      <c r="C11" s="241"/>
      <c r="D11" s="241"/>
      <c r="E11" s="245"/>
      <c r="F11" s="241"/>
      <c r="G11" s="241"/>
      <c r="H11" s="241"/>
      <c r="I11" s="245"/>
      <c r="J11" s="245"/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/>
      <c r="C12" s="241"/>
      <c r="D12" s="241"/>
      <c r="E12" s="245"/>
      <c r="F12" s="241"/>
      <c r="G12" s="241"/>
      <c r="H12" s="241"/>
      <c r="I12" s="245"/>
      <c r="J12" s="245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/>
      <c r="C13" s="241"/>
      <c r="D13" s="241"/>
      <c r="E13" s="245"/>
      <c r="F13" s="241"/>
      <c r="G13" s="241"/>
      <c r="H13" s="241"/>
      <c r="I13" s="245"/>
      <c r="J13" s="245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/>
      <c r="C14" s="241"/>
      <c r="D14" s="241"/>
      <c r="E14" s="245"/>
      <c r="F14" s="241"/>
      <c r="G14" s="241"/>
      <c r="H14" s="241"/>
      <c r="I14" s="245"/>
      <c r="J14" s="245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/>
      <c r="C15" s="248"/>
      <c r="D15" s="248"/>
      <c r="E15" s="249"/>
      <c r="F15" s="248"/>
      <c r="G15" s="248"/>
      <c r="H15" s="248"/>
      <c r="I15" s="249"/>
      <c r="J15" s="249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720</v>
      </c>
      <c r="C16" s="229">
        <f t="shared" ref="C16:K16" si="0">IFERROR(AVERAGE(C4:C15),0)</f>
        <v>228</v>
      </c>
      <c r="D16" s="229">
        <f t="shared" si="0"/>
        <v>100</v>
      </c>
      <c r="E16" s="229">
        <f t="shared" si="0"/>
        <v>100</v>
      </c>
      <c r="F16" s="229">
        <f t="shared" si="0"/>
        <v>100</v>
      </c>
      <c r="G16" s="229">
        <f t="shared" si="0"/>
        <v>42</v>
      </c>
      <c r="H16" s="229">
        <f t="shared" si="0"/>
        <v>50</v>
      </c>
      <c r="I16" s="229">
        <f t="shared" si="0"/>
        <v>50</v>
      </c>
      <c r="J16" s="229">
        <f t="shared" si="0"/>
        <v>50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G1:J1"/>
    <mergeCell ref="A1:A3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 rightToLeft="1" zoomScale="100" zoomScaleNormal="100">
      <pane xSplit="2" ySplit="3" topLeftCell="C4" activePane="bottomRight" state="frozen"/>
      <selection pane="bottomRight" activeCell="C4" sqref="C4"/>
    </sheetView>
  </sheetViews>
  <sheetFormatPr defaultRowHeight="15" outlineLevelRow="0" outlineLevelCol="0" x14ac:dyDescent="0" defaultColWidth="12.63"/>
  <cols>
    <col min="1" max="1" width="7.5" customWidth="1"/>
    <col min="2" max="2" width="34.75" customWidth="1"/>
    <col min="3" max="6" width="13.13" customWidth="1"/>
    <col min="7" max="7" width="14.25" customWidth="1"/>
    <col min="8" max="11" width="13.13" customWidth="1"/>
  </cols>
  <sheetData>
    <row r="1" ht="15.75" customHeight="1" spans="1:26" x14ac:dyDescent="0.25">
      <c r="A1" s="167" t="s">
        <v>7</v>
      </c>
      <c r="B1" s="168" t="s">
        <v>622</v>
      </c>
      <c r="C1" s="169" t="s">
        <v>134</v>
      </c>
      <c r="D1" s="170" t="s">
        <v>135</v>
      </c>
      <c r="E1" s="171" t="s">
        <v>136</v>
      </c>
      <c r="F1" s="172" t="s">
        <v>137</v>
      </c>
      <c r="G1" s="173" t="s">
        <v>623</v>
      </c>
      <c r="H1" s="174"/>
      <c r="I1" s="174"/>
      <c r="J1" s="175"/>
      <c r="K1" s="176" t="s">
        <v>142</v>
      </c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</row>
    <row r="2" ht="15.75" customHeight="1" spans="1:26" x14ac:dyDescent="0.25">
      <c r="A2" s="178" t="s">
        <v>857</v>
      </c>
      <c r="B2" s="18"/>
      <c r="C2" s="13"/>
      <c r="D2" s="13"/>
      <c r="E2" s="13"/>
      <c r="F2" s="179"/>
      <c r="G2" s="180" t="s">
        <v>138</v>
      </c>
      <c r="H2" s="181" t="s">
        <v>139</v>
      </c>
      <c r="I2" s="182" t="s">
        <v>140</v>
      </c>
      <c r="J2" s="183" t="s">
        <v>141</v>
      </c>
      <c r="K2" s="184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  <c r="Z2" s="177"/>
    </row>
    <row r="3" ht="15.75" customHeight="1" spans="1:26" x14ac:dyDescent="0.25">
      <c r="A3" s="185" t="s">
        <v>625</v>
      </c>
      <c r="B3" s="186" t="s">
        <v>626</v>
      </c>
      <c r="C3" s="187">
        <v>300</v>
      </c>
      <c r="D3" s="187">
        <v>100</v>
      </c>
      <c r="E3" s="187">
        <v>100</v>
      </c>
      <c r="F3" s="188">
        <v>100</v>
      </c>
      <c r="G3" s="189">
        <v>75</v>
      </c>
      <c r="H3" s="189">
        <v>75</v>
      </c>
      <c r="I3" s="189">
        <v>75</v>
      </c>
      <c r="J3" s="189">
        <v>75</v>
      </c>
      <c r="K3" s="190">
        <v>100</v>
      </c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ht="15.75" customHeight="1" spans="1:26" x14ac:dyDescent="0.25">
      <c r="A4" s="191" t="s">
        <v>627</v>
      </c>
      <c r="B4" s="192">
        <v>46187</v>
      </c>
      <c r="C4" s="193"/>
      <c r="D4" s="193">
        <v>100</v>
      </c>
      <c r="E4" s="193">
        <v>70</v>
      </c>
      <c r="F4" s="194">
        <v>70</v>
      </c>
      <c r="G4" s="193"/>
      <c r="H4" s="193"/>
      <c r="I4" s="193"/>
      <c r="J4" s="194"/>
      <c r="K4" s="195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ht="15.75" customHeight="1" spans="1:26" x14ac:dyDescent="0.25">
      <c r="A5" s="196"/>
      <c r="B5" s="197">
        <v>46189</v>
      </c>
      <c r="C5" s="198"/>
      <c r="D5" s="198">
        <v>100</v>
      </c>
      <c r="E5" s="198">
        <v>73</v>
      </c>
      <c r="F5" s="199">
        <v>73</v>
      </c>
      <c r="G5" s="198"/>
      <c r="H5" s="198"/>
      <c r="I5" s="198"/>
      <c r="J5" s="199"/>
      <c r="K5" s="196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</row>
    <row r="6" ht="15.75" customHeight="1" spans="1:26" x14ac:dyDescent="0.25">
      <c r="A6" s="200"/>
      <c r="B6" s="197">
        <v>46231</v>
      </c>
      <c r="C6" s="198"/>
      <c r="D6" s="198">
        <v>75</v>
      </c>
      <c r="E6" s="198">
        <v>75</v>
      </c>
      <c r="F6" s="199">
        <v>75</v>
      </c>
      <c r="G6" s="198"/>
      <c r="H6" s="198"/>
      <c r="I6" s="198"/>
      <c r="J6" s="199"/>
      <c r="K6" s="196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</row>
    <row r="7" ht="15.75" customHeight="1" spans="1:26" x14ac:dyDescent="0.25">
      <c r="A7" s="201" t="s">
        <v>628</v>
      </c>
      <c r="B7" s="197">
        <v>46207</v>
      </c>
      <c r="C7" s="198"/>
      <c r="D7" s="198">
        <v>75</v>
      </c>
      <c r="E7" s="198">
        <v>0</v>
      </c>
      <c r="F7" s="199">
        <v>75</v>
      </c>
      <c r="G7" s="198"/>
      <c r="H7" s="198"/>
      <c r="I7" s="198"/>
      <c r="J7" s="199"/>
      <c r="K7" s="196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/>
      <c r="Y7" s="177"/>
      <c r="Z7" s="177"/>
    </row>
    <row r="8" ht="15.75" customHeight="1" spans="1:26" x14ac:dyDescent="0.25">
      <c r="A8" s="196"/>
      <c r="B8" s="197">
        <v>46208</v>
      </c>
      <c r="C8" s="198"/>
      <c r="D8" s="198">
        <v>75</v>
      </c>
      <c r="E8" s="198">
        <v>0</v>
      </c>
      <c r="F8" s="199">
        <v>75</v>
      </c>
      <c r="G8" s="198"/>
      <c r="H8" s="198"/>
      <c r="I8" s="198"/>
      <c r="J8" s="199"/>
      <c r="K8" s="196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ht="15.75" customHeight="1" spans="1:26" x14ac:dyDescent="0.25">
      <c r="A9" s="200"/>
      <c r="B9" s="197">
        <v>46209</v>
      </c>
      <c r="C9" s="198">
        <v>260</v>
      </c>
      <c r="D9" s="198">
        <v>75</v>
      </c>
      <c r="E9" s="198">
        <v>0</v>
      </c>
      <c r="F9" s="199">
        <v>0</v>
      </c>
      <c r="G9" s="198">
        <v>75</v>
      </c>
      <c r="H9" s="198">
        <v>75</v>
      </c>
      <c r="I9" s="198">
        <v>75</v>
      </c>
      <c r="J9" s="199">
        <v>75</v>
      </c>
      <c r="K9" s="200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</row>
    <row r="10" ht="15.75" customHeight="1" spans="1:26" x14ac:dyDescent="0.25">
      <c r="A10" s="202" t="s">
        <v>629</v>
      </c>
      <c r="B10" s="197">
        <v>46210</v>
      </c>
      <c r="C10" s="198"/>
      <c r="D10" s="198">
        <v>75</v>
      </c>
      <c r="E10" s="198">
        <v>0</v>
      </c>
      <c r="F10" s="199">
        <v>65</v>
      </c>
      <c r="G10" s="198"/>
      <c r="H10" s="198"/>
      <c r="I10" s="198"/>
      <c r="J10" s="199"/>
      <c r="K10" s="203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</row>
    <row r="11" ht="15.75" customHeight="1" spans="1:26" x14ac:dyDescent="0.25">
      <c r="A11" s="196"/>
      <c r="B11" s="197">
        <v>46214</v>
      </c>
      <c r="C11" s="198">
        <v>170</v>
      </c>
      <c r="D11" s="198">
        <v>60</v>
      </c>
      <c r="E11" s="198">
        <v>85</v>
      </c>
      <c r="F11" s="199">
        <v>85</v>
      </c>
      <c r="G11" s="198">
        <v>75</v>
      </c>
      <c r="H11" s="198">
        <v>65</v>
      </c>
      <c r="I11" s="198">
        <v>75</v>
      </c>
      <c r="J11" s="199">
        <v>75</v>
      </c>
      <c r="K11" s="196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</row>
    <row r="12" ht="15.75" customHeight="1" spans="1:26" x14ac:dyDescent="0.25">
      <c r="A12" s="200"/>
      <c r="B12" s="197">
        <v>46215</v>
      </c>
      <c r="C12" s="198"/>
      <c r="D12" s="198">
        <v>0</v>
      </c>
      <c r="E12" s="198">
        <v>60</v>
      </c>
      <c r="F12" s="199">
        <v>85</v>
      </c>
      <c r="G12" s="198"/>
      <c r="H12" s="198"/>
      <c r="I12" s="198"/>
      <c r="J12" s="199"/>
      <c r="K12" s="196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</row>
    <row r="13" ht="15.75" customHeight="1" spans="1:26" x14ac:dyDescent="0.25">
      <c r="A13" s="204" t="s">
        <v>630</v>
      </c>
      <c r="B13" s="197">
        <v>46216</v>
      </c>
      <c r="C13" s="198"/>
      <c r="D13" s="198">
        <v>60</v>
      </c>
      <c r="E13" s="198">
        <v>85</v>
      </c>
      <c r="F13" s="199">
        <v>70</v>
      </c>
      <c r="G13" s="198"/>
      <c r="H13" s="198"/>
      <c r="I13" s="198"/>
      <c r="J13" s="199"/>
      <c r="K13" s="196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</row>
    <row r="14" ht="15.75" customHeight="1" spans="1:26" x14ac:dyDescent="0.25">
      <c r="A14" s="196"/>
      <c r="B14" s="197">
        <v>46217</v>
      </c>
      <c r="C14" s="198">
        <v>230</v>
      </c>
      <c r="D14" s="198">
        <v>60</v>
      </c>
      <c r="E14" s="198">
        <v>85</v>
      </c>
      <c r="F14" s="199">
        <v>85</v>
      </c>
      <c r="G14" s="198"/>
      <c r="H14" s="198"/>
      <c r="I14" s="198"/>
      <c r="J14" s="199"/>
      <c r="K14" s="196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</row>
    <row r="15" ht="15.75" customHeight="1" spans="1:26" x14ac:dyDescent="0.25">
      <c r="A15" s="200"/>
      <c r="B15" s="205">
        <v>46218</v>
      </c>
      <c r="C15" s="206"/>
      <c r="D15" s="206">
        <v>60</v>
      </c>
      <c r="E15" s="206">
        <v>0</v>
      </c>
      <c r="F15" s="207">
        <v>85</v>
      </c>
      <c r="G15" s="206"/>
      <c r="H15" s="206"/>
      <c r="I15" s="206"/>
      <c r="J15" s="207"/>
      <c r="K15" s="200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</row>
    <row r="16" ht="15.75" customHeight="1" spans="1:26" x14ac:dyDescent="0.25">
      <c r="A16" s="208" t="s">
        <v>8</v>
      </c>
      <c r="B16" s="209">
        <f>SUM(C16:K16)</f>
        <v>697.5833333</v>
      </c>
      <c r="C16" s="229">
        <f t="shared" ref="C16:K16" si="0">IFERROR(AVERAGE(C4:C15),0)</f>
        <v>220</v>
      </c>
      <c r="D16" s="229">
        <f t="shared" si="0"/>
        <v>67.91666667</v>
      </c>
      <c r="E16" s="229">
        <f t="shared" si="0"/>
        <v>44.41666667</v>
      </c>
      <c r="F16" s="229">
        <f t="shared" si="0"/>
        <v>70.25</v>
      </c>
      <c r="G16" s="229">
        <f t="shared" si="0"/>
        <v>75</v>
      </c>
      <c r="H16" s="229">
        <f t="shared" si="0"/>
        <v>70</v>
      </c>
      <c r="I16" s="229">
        <f t="shared" si="0"/>
        <v>75</v>
      </c>
      <c r="J16" s="229">
        <f t="shared" si="0"/>
        <v>75</v>
      </c>
      <c r="K16" s="210">
        <f t="shared" si="0"/>
        <v>0</v>
      </c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</row>
    <row r="17" ht="15.75" customHeight="1" spans="1:26" x14ac:dyDescent="0.25">
      <c r="A17" s="177"/>
      <c r="B17" s="177"/>
      <c r="C17" s="211"/>
      <c r="D17" s="211"/>
      <c r="E17" s="211"/>
      <c r="F17" s="211"/>
      <c r="G17" s="211"/>
      <c r="H17" s="211"/>
      <c r="I17" s="211"/>
      <c r="J17" s="211"/>
      <c r="K17" s="211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</row>
    <row r="18" ht="15.75" customHeight="1" spans="1:26" x14ac:dyDescent="0.25">
      <c r="A18" s="177"/>
      <c r="B18" s="177"/>
      <c r="C18" s="211"/>
      <c r="D18" s="211"/>
      <c r="E18" s="211"/>
      <c r="F18" s="211"/>
      <c r="G18" s="211"/>
      <c r="H18" s="211"/>
      <c r="I18" s="211"/>
      <c r="J18" s="211"/>
      <c r="K18" s="211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</row>
    <row r="19" ht="15.75" customHeight="1" spans="1:26" x14ac:dyDescent="0.25">
      <c r="A19" s="177"/>
      <c r="B19" s="177"/>
      <c r="C19" s="211"/>
      <c r="D19" s="211"/>
      <c r="E19" s="211"/>
      <c r="F19" s="211"/>
      <c r="G19" s="211"/>
      <c r="H19" s="211"/>
      <c r="I19" s="211"/>
      <c r="J19" s="211"/>
      <c r="K19" s="211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</row>
    <row r="20" ht="15.75" customHeight="1" spans="1:26" x14ac:dyDescent="0.25">
      <c r="A20" s="177"/>
      <c r="B20" s="177"/>
      <c r="C20" s="211"/>
      <c r="D20" s="211"/>
      <c r="E20" s="211"/>
      <c r="F20" s="211"/>
      <c r="G20" s="211"/>
      <c r="H20" s="211"/>
      <c r="I20" s="211"/>
      <c r="J20" s="211"/>
      <c r="K20" s="211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</row>
    <row r="21" ht="15.75" customHeight="1" spans="1:26" x14ac:dyDescent="0.25">
      <c r="A21" s="177"/>
      <c r="B21" s="177"/>
      <c r="C21" s="211"/>
      <c r="D21" s="211"/>
      <c r="E21" s="211"/>
      <c r="F21" s="211"/>
      <c r="G21" s="211"/>
      <c r="H21" s="211"/>
      <c r="I21" s="211"/>
      <c r="J21" s="211"/>
      <c r="K21" s="211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</row>
    <row r="22" ht="15.75" customHeight="1" spans="1:26" x14ac:dyDescent="0.25">
      <c r="A22" s="177"/>
      <c r="B22" s="177"/>
      <c r="C22" s="211"/>
      <c r="D22" s="211"/>
      <c r="E22" s="211"/>
      <c r="F22" s="211"/>
      <c r="G22" s="211"/>
      <c r="H22" s="211"/>
      <c r="I22" s="211"/>
      <c r="J22" s="211"/>
      <c r="K22" s="211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</row>
    <row r="23" ht="15.75" customHeight="1" spans="1:26" x14ac:dyDescent="0.25">
      <c r="A23" s="177"/>
      <c r="B23" s="177"/>
      <c r="C23" s="211"/>
      <c r="D23" s="211"/>
      <c r="E23" s="211"/>
      <c r="F23" s="211"/>
      <c r="G23" s="211"/>
      <c r="H23" s="211"/>
      <c r="I23" s="211"/>
      <c r="J23" s="211"/>
      <c r="K23" s="211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</row>
    <row r="24" ht="15.75" customHeight="1" spans="1:26" x14ac:dyDescent="0.25">
      <c r="A24" s="177"/>
      <c r="B24" s="177"/>
      <c r="C24" s="211"/>
      <c r="D24" s="211"/>
      <c r="E24" s="211"/>
      <c r="F24" s="211"/>
      <c r="G24" s="211"/>
      <c r="H24" s="211"/>
      <c r="I24" s="211"/>
      <c r="J24" s="211"/>
      <c r="K24" s="211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</row>
    <row r="25" ht="15.75" customHeight="1" spans="1:26" x14ac:dyDescent="0.25">
      <c r="A25" s="177"/>
      <c r="B25" s="177"/>
      <c r="C25" s="211"/>
      <c r="D25" s="211"/>
      <c r="E25" s="211"/>
      <c r="F25" s="211"/>
      <c r="G25" s="211"/>
      <c r="H25" s="211"/>
      <c r="I25" s="211"/>
      <c r="J25" s="211"/>
      <c r="K25" s="211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</row>
    <row r="26" ht="15.75" customHeight="1" spans="1:26" x14ac:dyDescent="0.25">
      <c r="A26" s="177"/>
      <c r="B26" s="177"/>
      <c r="C26" s="211"/>
      <c r="D26" s="211"/>
      <c r="E26" s="211"/>
      <c r="F26" s="211"/>
      <c r="G26" s="211"/>
      <c r="H26" s="211"/>
      <c r="I26" s="211"/>
      <c r="J26" s="211"/>
      <c r="K26" s="211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</row>
    <row r="27" ht="15.75" customHeight="1" spans="1:26" x14ac:dyDescent="0.25">
      <c r="A27" s="177"/>
      <c r="B27" s="177"/>
      <c r="C27" s="211"/>
      <c r="D27" s="211"/>
      <c r="E27" s="211"/>
      <c r="F27" s="211"/>
      <c r="G27" s="211"/>
      <c r="H27" s="211"/>
      <c r="I27" s="211"/>
      <c r="J27" s="211"/>
      <c r="K27" s="211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ht="15.75" customHeight="1" spans="1:26" x14ac:dyDescent="0.25">
      <c r="A28" s="177"/>
      <c r="B28" s="177"/>
      <c r="C28" s="211"/>
      <c r="D28" s="211"/>
      <c r="E28" s="211"/>
      <c r="F28" s="211"/>
      <c r="G28" s="211"/>
      <c r="H28" s="211"/>
      <c r="I28" s="211"/>
      <c r="J28" s="211"/>
      <c r="K28" s="211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</row>
    <row r="29" ht="15.75" customHeight="1" spans="1:26" x14ac:dyDescent="0.25">
      <c r="A29" s="177"/>
      <c r="B29" s="177"/>
      <c r="C29" s="211"/>
      <c r="D29" s="211"/>
      <c r="E29" s="211"/>
      <c r="F29" s="211"/>
      <c r="G29" s="211"/>
      <c r="H29" s="211"/>
      <c r="I29" s="211"/>
      <c r="J29" s="211"/>
      <c r="K29" s="211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</row>
    <row r="30" ht="15.75" customHeight="1" spans="1:26" x14ac:dyDescent="0.25">
      <c r="A30" s="177"/>
      <c r="B30" s="177"/>
      <c r="C30" s="211"/>
      <c r="D30" s="211"/>
      <c r="E30" s="211"/>
      <c r="F30" s="211"/>
      <c r="G30" s="211"/>
      <c r="H30" s="211"/>
      <c r="I30" s="211"/>
      <c r="J30" s="211"/>
      <c r="K30" s="211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</row>
    <row r="31" ht="15.75" customHeight="1" spans="1:26" x14ac:dyDescent="0.25">
      <c r="A31" s="177"/>
      <c r="B31" s="177"/>
      <c r="C31" s="211"/>
      <c r="D31" s="211"/>
      <c r="E31" s="211"/>
      <c r="F31" s="211"/>
      <c r="G31" s="211"/>
      <c r="H31" s="211"/>
      <c r="I31" s="211"/>
      <c r="J31" s="211"/>
      <c r="K31" s="211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</row>
    <row r="32" ht="15.75" customHeight="1" spans="1:26" x14ac:dyDescent="0.25">
      <c r="A32" s="177"/>
      <c r="B32" s="177"/>
      <c r="C32" s="211"/>
      <c r="D32" s="211"/>
      <c r="E32" s="211"/>
      <c r="F32" s="211"/>
      <c r="G32" s="211"/>
      <c r="H32" s="211"/>
      <c r="I32" s="211"/>
      <c r="J32" s="211"/>
      <c r="K32" s="211"/>
      <c r="L32" s="177"/>
      <c r="M32" s="177"/>
      <c r="N32" s="177"/>
      <c r="O32" s="177"/>
      <c r="P32" s="177"/>
      <c r="Q32" s="177"/>
      <c r="R32" s="177"/>
      <c r="S32" s="177"/>
      <c r="T32" s="177"/>
      <c r="U32" s="177"/>
      <c r="V32" s="177"/>
      <c r="W32" s="177"/>
      <c r="X32" s="177"/>
      <c r="Y32" s="177"/>
      <c r="Z32" s="177"/>
    </row>
    <row r="33" ht="15.75" customHeight="1" spans="1:26" x14ac:dyDescent="0.25">
      <c r="A33" s="177"/>
      <c r="B33" s="177"/>
      <c r="C33" s="211"/>
      <c r="D33" s="211"/>
      <c r="E33" s="211"/>
      <c r="F33" s="211"/>
      <c r="G33" s="211"/>
      <c r="H33" s="211"/>
      <c r="I33" s="211"/>
      <c r="J33" s="211"/>
      <c r="K33" s="211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</row>
    <row r="34" ht="15.75" customHeight="1" spans="1:26" x14ac:dyDescent="0.25">
      <c r="A34" s="177"/>
      <c r="B34" s="177"/>
      <c r="C34" s="211"/>
      <c r="D34" s="211"/>
      <c r="E34" s="211"/>
      <c r="F34" s="211"/>
      <c r="G34" s="211"/>
      <c r="H34" s="211"/>
      <c r="I34" s="211"/>
      <c r="J34" s="211"/>
      <c r="K34" s="211"/>
      <c r="L34" s="177"/>
      <c r="M34" s="177"/>
      <c r="N34" s="177"/>
      <c r="O34" s="177"/>
      <c r="P34" s="177"/>
      <c r="Q34" s="177"/>
      <c r="R34" s="177"/>
      <c r="S34" s="177"/>
      <c r="T34" s="177"/>
      <c r="U34" s="177"/>
      <c r="V34" s="177"/>
      <c r="W34" s="177"/>
      <c r="X34" s="177"/>
      <c r="Y34" s="177"/>
      <c r="Z34" s="177"/>
    </row>
    <row r="35" ht="15.75" customHeight="1" spans="1:26" x14ac:dyDescent="0.25">
      <c r="A35" s="177"/>
      <c r="B35" s="177"/>
      <c r="C35" s="211"/>
      <c r="D35" s="211"/>
      <c r="E35" s="211"/>
      <c r="F35" s="211"/>
      <c r="G35" s="211"/>
      <c r="H35" s="211"/>
      <c r="I35" s="211"/>
      <c r="J35" s="211"/>
      <c r="K35" s="211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77"/>
      <c r="X35" s="177"/>
      <c r="Y35" s="177"/>
      <c r="Z35" s="177"/>
    </row>
    <row r="36" ht="15.75" customHeight="1" spans="1:26" x14ac:dyDescent="0.25">
      <c r="A36" s="177"/>
      <c r="B36" s="177"/>
      <c r="C36" s="211"/>
      <c r="D36" s="211"/>
      <c r="E36" s="211"/>
      <c r="F36" s="211"/>
      <c r="G36" s="211"/>
      <c r="H36" s="211"/>
      <c r="I36" s="211"/>
      <c r="J36" s="211"/>
      <c r="K36" s="211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</row>
    <row r="37" ht="15.75" customHeight="1" spans="1:26" x14ac:dyDescent="0.25">
      <c r="A37" s="177"/>
      <c r="B37" s="177"/>
      <c r="C37" s="211"/>
      <c r="D37" s="211"/>
      <c r="E37" s="211"/>
      <c r="F37" s="211"/>
      <c r="G37" s="211"/>
      <c r="H37" s="211"/>
      <c r="I37" s="211"/>
      <c r="J37" s="211"/>
      <c r="K37" s="211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</row>
    <row r="38" ht="15.75" customHeight="1" spans="1:26" x14ac:dyDescent="0.25">
      <c r="A38" s="177"/>
      <c r="B38" s="177"/>
      <c r="C38" s="211"/>
      <c r="D38" s="211"/>
      <c r="E38" s="211"/>
      <c r="F38" s="211"/>
      <c r="G38" s="211"/>
      <c r="H38" s="211"/>
      <c r="I38" s="211"/>
      <c r="J38" s="211"/>
      <c r="K38" s="211"/>
      <c r="L38" s="177"/>
      <c r="M38" s="177"/>
      <c r="N38" s="177"/>
      <c r="O38" s="177"/>
      <c r="P38" s="177"/>
      <c r="Q38" s="177"/>
      <c r="R38" s="177"/>
      <c r="S38" s="177"/>
      <c r="T38" s="177"/>
      <c r="U38" s="177"/>
      <c r="V38" s="177"/>
      <c r="W38" s="177"/>
      <c r="X38" s="177"/>
      <c r="Y38" s="177"/>
      <c r="Z38" s="177"/>
    </row>
    <row r="39" ht="15.75" customHeight="1" spans="1:26" x14ac:dyDescent="0.25">
      <c r="A39" s="177"/>
      <c r="B39" s="177"/>
      <c r="C39" s="211"/>
      <c r="D39" s="211"/>
      <c r="E39" s="211"/>
      <c r="F39" s="211"/>
      <c r="G39" s="211"/>
      <c r="H39" s="211"/>
      <c r="I39" s="211"/>
      <c r="J39" s="211"/>
      <c r="K39" s="211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</row>
    <row r="40" ht="15.75" customHeight="1" spans="1:26" x14ac:dyDescent="0.25">
      <c r="A40" s="177"/>
      <c r="B40" s="177"/>
      <c r="C40" s="211"/>
      <c r="D40" s="211"/>
      <c r="E40" s="211"/>
      <c r="F40" s="211"/>
      <c r="G40" s="211"/>
      <c r="H40" s="211"/>
      <c r="I40" s="211"/>
      <c r="J40" s="211"/>
      <c r="K40" s="211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</row>
    <row r="41" ht="15.75" customHeight="1" spans="1:26" x14ac:dyDescent="0.25">
      <c r="A41" s="177"/>
      <c r="B41" s="177"/>
      <c r="C41" s="211"/>
      <c r="D41" s="211"/>
      <c r="E41" s="211"/>
      <c r="F41" s="211"/>
      <c r="G41" s="211"/>
      <c r="H41" s="211"/>
      <c r="I41" s="211"/>
      <c r="J41" s="211"/>
      <c r="K41" s="211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</row>
    <row r="42" ht="15.75" customHeight="1" spans="1:26" x14ac:dyDescent="0.25">
      <c r="A42" s="177"/>
      <c r="B42" s="177"/>
      <c r="C42" s="211"/>
      <c r="D42" s="211"/>
      <c r="E42" s="211"/>
      <c r="F42" s="211"/>
      <c r="G42" s="211"/>
      <c r="H42" s="211"/>
      <c r="I42" s="211"/>
      <c r="J42" s="211"/>
      <c r="K42" s="211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</row>
    <row r="43" ht="15.75" customHeight="1" spans="1:26" x14ac:dyDescent="0.25">
      <c r="A43" s="177"/>
      <c r="B43" s="177"/>
      <c r="C43" s="211"/>
      <c r="D43" s="211"/>
      <c r="E43" s="211"/>
      <c r="F43" s="211"/>
      <c r="G43" s="211"/>
      <c r="H43" s="211"/>
      <c r="I43" s="211"/>
      <c r="J43" s="211"/>
      <c r="K43" s="211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</row>
    <row r="44" ht="15.75" customHeight="1" spans="1:26" x14ac:dyDescent="0.25">
      <c r="A44" s="177"/>
      <c r="B44" s="177"/>
      <c r="C44" s="211"/>
      <c r="D44" s="211"/>
      <c r="E44" s="211"/>
      <c r="F44" s="211"/>
      <c r="G44" s="211"/>
      <c r="H44" s="211"/>
      <c r="I44" s="211"/>
      <c r="J44" s="211"/>
      <c r="K44" s="211"/>
      <c r="L44" s="177"/>
      <c r="M44" s="177"/>
      <c r="N44" s="177"/>
      <c r="O44" s="177"/>
      <c r="P44" s="177"/>
      <c r="Q44" s="177"/>
      <c r="R44" s="177"/>
      <c r="S44" s="177"/>
      <c r="T44" s="177"/>
      <c r="U44" s="177"/>
      <c r="V44" s="177"/>
      <c r="W44" s="177"/>
      <c r="X44" s="177"/>
      <c r="Y44" s="177"/>
      <c r="Z44" s="177"/>
    </row>
    <row r="45" ht="15.75" customHeight="1" spans="1:26" x14ac:dyDescent="0.25">
      <c r="A45" s="177"/>
      <c r="B45" s="177"/>
      <c r="C45" s="211"/>
      <c r="D45" s="211"/>
      <c r="E45" s="211"/>
      <c r="F45" s="211"/>
      <c r="G45" s="211"/>
      <c r="H45" s="211"/>
      <c r="I45" s="211"/>
      <c r="J45" s="211"/>
      <c r="K45" s="211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77"/>
      <c r="X45" s="177"/>
      <c r="Y45" s="177"/>
      <c r="Z45" s="177"/>
    </row>
    <row r="46" ht="15.75" customHeight="1" spans="1:26" x14ac:dyDescent="0.25">
      <c r="A46" s="177"/>
      <c r="B46" s="177"/>
      <c r="C46" s="211"/>
      <c r="D46" s="211"/>
      <c r="E46" s="211"/>
      <c r="F46" s="211"/>
      <c r="G46" s="211"/>
      <c r="H46" s="211"/>
      <c r="I46" s="211"/>
      <c r="J46" s="211"/>
      <c r="K46" s="211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77"/>
      <c r="X46" s="177"/>
      <c r="Y46" s="177"/>
      <c r="Z46" s="177"/>
    </row>
    <row r="47" ht="15.75" customHeight="1" spans="1:26" x14ac:dyDescent="0.25">
      <c r="A47" s="177"/>
      <c r="B47" s="177"/>
      <c r="C47" s="211"/>
      <c r="D47" s="211"/>
      <c r="E47" s="211"/>
      <c r="F47" s="211"/>
      <c r="G47" s="211"/>
      <c r="H47" s="211"/>
      <c r="I47" s="211"/>
      <c r="J47" s="211"/>
      <c r="K47" s="211"/>
      <c r="L47" s="177"/>
      <c r="M47" s="177"/>
      <c r="N47" s="177"/>
      <c r="O47" s="177"/>
      <c r="P47" s="177"/>
      <c r="Q47" s="177"/>
      <c r="R47" s="177"/>
      <c r="S47" s="177"/>
      <c r="T47" s="177"/>
      <c r="U47" s="177"/>
      <c r="V47" s="177"/>
      <c r="W47" s="177"/>
      <c r="X47" s="177"/>
      <c r="Y47" s="177"/>
      <c r="Z47" s="177"/>
    </row>
    <row r="48" ht="15.75" customHeight="1" spans="1:26" x14ac:dyDescent="0.25">
      <c r="A48" s="177"/>
      <c r="B48" s="177"/>
      <c r="C48" s="211"/>
      <c r="D48" s="211"/>
      <c r="E48" s="211"/>
      <c r="F48" s="211"/>
      <c r="G48" s="211"/>
      <c r="H48" s="211"/>
      <c r="I48" s="211"/>
      <c r="J48" s="211"/>
      <c r="K48" s="211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7"/>
      <c r="X48" s="177"/>
      <c r="Y48" s="177"/>
      <c r="Z48" s="177"/>
    </row>
    <row r="49" ht="15.75" customHeight="1" spans="1:26" x14ac:dyDescent="0.25">
      <c r="A49" s="177"/>
      <c r="B49" s="177"/>
      <c r="C49" s="211"/>
      <c r="D49" s="211"/>
      <c r="E49" s="211"/>
      <c r="F49" s="211"/>
      <c r="G49" s="211"/>
      <c r="H49" s="211"/>
      <c r="I49" s="211"/>
      <c r="J49" s="211"/>
      <c r="K49" s="211"/>
      <c r="L49" s="177"/>
      <c r="M49" s="177"/>
      <c r="N49" s="177"/>
      <c r="O49" s="177"/>
      <c r="P49" s="177"/>
      <c r="Q49" s="177"/>
      <c r="R49" s="177"/>
      <c r="S49" s="177"/>
      <c r="T49" s="177"/>
      <c r="U49" s="177"/>
      <c r="V49" s="177"/>
      <c r="W49" s="177"/>
      <c r="X49" s="177"/>
      <c r="Y49" s="177"/>
      <c r="Z49" s="177"/>
    </row>
    <row r="50" ht="15.75" customHeight="1" spans="1:26" x14ac:dyDescent="0.25">
      <c r="A50" s="177"/>
      <c r="B50" s="177"/>
      <c r="C50" s="211"/>
      <c r="D50" s="211"/>
      <c r="E50" s="211"/>
      <c r="F50" s="211"/>
      <c r="G50" s="211"/>
      <c r="H50" s="211"/>
      <c r="I50" s="211"/>
      <c r="J50" s="211"/>
      <c r="K50" s="211"/>
      <c r="L50" s="177"/>
      <c r="M50" s="177"/>
      <c r="N50" s="177"/>
      <c r="O50" s="177"/>
      <c r="P50" s="177"/>
      <c r="Q50" s="177"/>
      <c r="R50" s="177"/>
      <c r="S50" s="177"/>
      <c r="T50" s="177"/>
      <c r="U50" s="177"/>
      <c r="V50" s="177"/>
      <c r="W50" s="177"/>
      <c r="X50" s="177"/>
      <c r="Y50" s="177"/>
      <c r="Z50" s="177"/>
    </row>
    <row r="51" ht="15.75" customHeight="1" spans="1:26" x14ac:dyDescent="0.25">
      <c r="A51" s="177"/>
      <c r="B51" s="177"/>
      <c r="C51" s="211"/>
      <c r="D51" s="211"/>
      <c r="E51" s="211"/>
      <c r="F51" s="211"/>
      <c r="G51" s="211"/>
      <c r="H51" s="211"/>
      <c r="I51" s="211"/>
      <c r="J51" s="211"/>
      <c r="K51" s="211"/>
      <c r="L51" s="177"/>
      <c r="M51" s="177"/>
      <c r="N51" s="177"/>
      <c r="O51" s="177"/>
      <c r="P51" s="177"/>
      <c r="Q51" s="177"/>
      <c r="R51" s="177"/>
      <c r="S51" s="177"/>
      <c r="T51" s="177"/>
      <c r="U51" s="177"/>
      <c r="V51" s="177"/>
      <c r="W51" s="177"/>
      <c r="X51" s="177"/>
      <c r="Y51" s="177"/>
      <c r="Z51" s="177"/>
    </row>
    <row r="52" ht="15.75" customHeight="1" spans="1:26" x14ac:dyDescent="0.25">
      <c r="A52" s="177"/>
      <c r="B52" s="177"/>
      <c r="C52" s="211"/>
      <c r="D52" s="211"/>
      <c r="E52" s="211"/>
      <c r="F52" s="211"/>
      <c r="G52" s="211"/>
      <c r="H52" s="211"/>
      <c r="I52" s="211"/>
      <c r="J52" s="211"/>
      <c r="K52" s="211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</row>
    <row r="53" ht="15.75" customHeight="1" spans="1:26" x14ac:dyDescent="0.25">
      <c r="A53" s="177"/>
      <c r="B53" s="177"/>
      <c r="C53" s="211"/>
      <c r="D53" s="211"/>
      <c r="E53" s="211"/>
      <c r="F53" s="211"/>
      <c r="G53" s="211"/>
      <c r="H53" s="211"/>
      <c r="I53" s="211"/>
      <c r="J53" s="211"/>
      <c r="K53" s="211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</row>
    <row r="54" ht="15.75" customHeight="1" spans="1:26" x14ac:dyDescent="0.25">
      <c r="A54" s="177"/>
      <c r="B54" s="177"/>
      <c r="C54" s="211"/>
      <c r="D54" s="211"/>
      <c r="E54" s="211"/>
      <c r="F54" s="211"/>
      <c r="G54" s="211"/>
      <c r="H54" s="211"/>
      <c r="I54" s="211"/>
      <c r="J54" s="211"/>
      <c r="K54" s="211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7"/>
      <c r="X54" s="177"/>
      <c r="Y54" s="177"/>
      <c r="Z54" s="177"/>
    </row>
    <row r="55" ht="15.75" customHeight="1" spans="1:26" x14ac:dyDescent="0.25">
      <c r="A55" s="177"/>
      <c r="B55" s="177"/>
      <c r="C55" s="211"/>
      <c r="D55" s="211"/>
      <c r="E55" s="211"/>
      <c r="F55" s="211"/>
      <c r="G55" s="211"/>
      <c r="H55" s="211"/>
      <c r="I55" s="211"/>
      <c r="J55" s="211"/>
      <c r="K55" s="211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</row>
    <row r="56" ht="15.75" customHeight="1" spans="1:26" x14ac:dyDescent="0.25">
      <c r="A56" s="177"/>
      <c r="B56" s="177"/>
      <c r="C56" s="211"/>
      <c r="D56" s="211"/>
      <c r="E56" s="211"/>
      <c r="F56" s="211"/>
      <c r="G56" s="211"/>
      <c r="H56" s="211"/>
      <c r="I56" s="211"/>
      <c r="J56" s="211"/>
      <c r="K56" s="211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</row>
    <row r="57" ht="15.75" customHeight="1" spans="1:26" x14ac:dyDescent="0.25">
      <c r="A57" s="177"/>
      <c r="B57" s="177"/>
      <c r="C57" s="211"/>
      <c r="D57" s="211"/>
      <c r="E57" s="211"/>
      <c r="F57" s="211"/>
      <c r="G57" s="211"/>
      <c r="H57" s="211"/>
      <c r="I57" s="211"/>
      <c r="J57" s="211"/>
      <c r="K57" s="211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</row>
    <row r="58" ht="15.75" customHeight="1" spans="1:26" x14ac:dyDescent="0.25">
      <c r="A58" s="177"/>
      <c r="B58" s="177"/>
      <c r="C58" s="211"/>
      <c r="D58" s="211"/>
      <c r="E58" s="211"/>
      <c r="F58" s="211"/>
      <c r="G58" s="211"/>
      <c r="H58" s="211"/>
      <c r="I58" s="211"/>
      <c r="J58" s="211"/>
      <c r="K58" s="211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</row>
    <row r="59" ht="15.75" customHeight="1" spans="1:26" x14ac:dyDescent="0.25">
      <c r="A59" s="177"/>
      <c r="B59" s="177"/>
      <c r="C59" s="211"/>
      <c r="D59" s="211"/>
      <c r="E59" s="211"/>
      <c r="F59" s="211"/>
      <c r="G59" s="211"/>
      <c r="H59" s="211"/>
      <c r="I59" s="211"/>
      <c r="J59" s="211"/>
      <c r="K59" s="211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</row>
    <row r="60" ht="15.75" customHeight="1" spans="1:26" x14ac:dyDescent="0.25">
      <c r="A60" s="177"/>
      <c r="B60" s="177"/>
      <c r="C60" s="211"/>
      <c r="D60" s="211"/>
      <c r="E60" s="211"/>
      <c r="F60" s="211"/>
      <c r="G60" s="211"/>
      <c r="H60" s="211"/>
      <c r="I60" s="211"/>
      <c r="J60" s="211"/>
      <c r="K60" s="211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</row>
    <row r="61" ht="15.75" customHeight="1" spans="1:26" x14ac:dyDescent="0.25">
      <c r="A61" s="177"/>
      <c r="B61" s="177"/>
      <c r="C61" s="211"/>
      <c r="D61" s="211"/>
      <c r="E61" s="211"/>
      <c r="F61" s="211"/>
      <c r="G61" s="211"/>
      <c r="H61" s="211"/>
      <c r="I61" s="211"/>
      <c r="J61" s="211"/>
      <c r="K61" s="211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</row>
    <row r="62" ht="15.75" customHeight="1" spans="1:26" x14ac:dyDescent="0.25">
      <c r="A62" s="177"/>
      <c r="B62" s="177"/>
      <c r="C62" s="211"/>
      <c r="D62" s="211"/>
      <c r="E62" s="211"/>
      <c r="F62" s="211"/>
      <c r="G62" s="211"/>
      <c r="H62" s="211"/>
      <c r="I62" s="211"/>
      <c r="J62" s="211"/>
      <c r="K62" s="211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</row>
    <row r="63" ht="15.75" customHeight="1" spans="1:26" x14ac:dyDescent="0.25">
      <c r="A63" s="177"/>
      <c r="B63" s="177"/>
      <c r="C63" s="211"/>
      <c r="D63" s="211"/>
      <c r="E63" s="211"/>
      <c r="F63" s="211"/>
      <c r="G63" s="211"/>
      <c r="H63" s="211"/>
      <c r="I63" s="211"/>
      <c r="J63" s="211"/>
      <c r="K63" s="211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</row>
    <row r="64" ht="15.75" customHeight="1" spans="1:26" x14ac:dyDescent="0.25">
      <c r="A64" s="177"/>
      <c r="B64" s="177"/>
      <c r="C64" s="211"/>
      <c r="D64" s="211"/>
      <c r="E64" s="211"/>
      <c r="F64" s="211"/>
      <c r="G64" s="211"/>
      <c r="H64" s="211"/>
      <c r="I64" s="211"/>
      <c r="J64" s="211"/>
      <c r="K64" s="211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</row>
    <row r="65" ht="15.75" customHeight="1" spans="1:26" x14ac:dyDescent="0.25">
      <c r="A65" s="177"/>
      <c r="B65" s="177"/>
      <c r="C65" s="211"/>
      <c r="D65" s="211"/>
      <c r="E65" s="211"/>
      <c r="F65" s="211"/>
      <c r="G65" s="211"/>
      <c r="H65" s="211"/>
      <c r="I65" s="211"/>
      <c r="J65" s="211"/>
      <c r="K65" s="211"/>
      <c r="L65" s="177"/>
      <c r="M65" s="177"/>
      <c r="N65" s="177"/>
      <c r="O65" s="177"/>
      <c r="P65" s="177"/>
      <c r="Q65" s="177"/>
      <c r="R65" s="177"/>
      <c r="S65" s="177"/>
      <c r="T65" s="177"/>
      <c r="U65" s="177"/>
      <c r="V65" s="177"/>
      <c r="W65" s="177"/>
      <c r="X65" s="177"/>
      <c r="Y65" s="177"/>
      <c r="Z65" s="177"/>
    </row>
    <row r="66" ht="15.75" customHeight="1" spans="1:26" x14ac:dyDescent="0.25">
      <c r="A66" s="177"/>
      <c r="B66" s="177"/>
      <c r="C66" s="211"/>
      <c r="D66" s="211"/>
      <c r="E66" s="211"/>
      <c r="F66" s="211"/>
      <c r="G66" s="211"/>
      <c r="H66" s="211"/>
      <c r="I66" s="211"/>
      <c r="J66" s="211"/>
      <c r="K66" s="211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7"/>
      <c r="X66" s="177"/>
      <c r="Y66" s="177"/>
      <c r="Z66" s="177"/>
    </row>
    <row r="67" ht="15.75" customHeight="1" spans="1:26" x14ac:dyDescent="0.25">
      <c r="A67" s="177"/>
      <c r="B67" s="177"/>
      <c r="C67" s="211"/>
      <c r="D67" s="211"/>
      <c r="E67" s="211"/>
      <c r="F67" s="211"/>
      <c r="G67" s="211"/>
      <c r="H67" s="211"/>
      <c r="I67" s="211"/>
      <c r="J67" s="211"/>
      <c r="K67" s="211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</row>
    <row r="68" ht="15.75" customHeight="1" spans="1:26" x14ac:dyDescent="0.25">
      <c r="A68" s="177"/>
      <c r="B68" s="177"/>
      <c r="C68" s="211"/>
      <c r="D68" s="211"/>
      <c r="E68" s="211"/>
      <c r="F68" s="211"/>
      <c r="G68" s="211"/>
      <c r="H68" s="211"/>
      <c r="I68" s="211"/>
      <c r="J68" s="211"/>
      <c r="K68" s="211"/>
      <c r="L68" s="177"/>
      <c r="M68" s="177"/>
      <c r="N68" s="177"/>
      <c r="O68" s="177"/>
      <c r="P68" s="177"/>
      <c r="Q68" s="177"/>
      <c r="R68" s="177"/>
      <c r="S68" s="177"/>
      <c r="T68" s="177"/>
      <c r="U68" s="177"/>
      <c r="V68" s="177"/>
      <c r="W68" s="177"/>
      <c r="X68" s="177"/>
      <c r="Y68" s="177"/>
      <c r="Z68" s="177"/>
    </row>
    <row r="69" ht="15.75" customHeight="1" spans="1:26" x14ac:dyDescent="0.25">
      <c r="A69" s="177"/>
      <c r="B69" s="177"/>
      <c r="C69" s="211"/>
      <c r="D69" s="211"/>
      <c r="E69" s="211"/>
      <c r="F69" s="211"/>
      <c r="G69" s="211"/>
      <c r="H69" s="211"/>
      <c r="I69" s="211"/>
      <c r="J69" s="211"/>
      <c r="K69" s="211"/>
      <c r="L69" s="177"/>
      <c r="M69" s="177"/>
      <c r="N69" s="177"/>
      <c r="O69" s="177"/>
      <c r="P69" s="177"/>
      <c r="Q69" s="177"/>
      <c r="R69" s="177"/>
      <c r="S69" s="177"/>
      <c r="T69" s="177"/>
      <c r="U69" s="177"/>
      <c r="V69" s="177"/>
      <c r="W69" s="177"/>
      <c r="X69" s="177"/>
      <c r="Y69" s="177"/>
      <c r="Z69" s="177"/>
    </row>
    <row r="70" ht="15.75" customHeight="1" spans="1:26" x14ac:dyDescent="0.25">
      <c r="A70" s="177"/>
      <c r="B70" s="177"/>
      <c r="C70" s="211"/>
      <c r="D70" s="211"/>
      <c r="E70" s="211"/>
      <c r="F70" s="211"/>
      <c r="G70" s="211"/>
      <c r="H70" s="211"/>
      <c r="I70" s="211"/>
      <c r="J70" s="211"/>
      <c r="K70" s="211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</row>
    <row r="71" ht="15.75" customHeight="1" spans="1:26" x14ac:dyDescent="0.25">
      <c r="A71" s="177"/>
      <c r="B71" s="177"/>
      <c r="C71" s="211"/>
      <c r="D71" s="211"/>
      <c r="E71" s="211"/>
      <c r="F71" s="211"/>
      <c r="G71" s="211"/>
      <c r="H71" s="211"/>
      <c r="I71" s="211"/>
      <c r="J71" s="211"/>
      <c r="K71" s="211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</row>
    <row r="72" ht="15.75" customHeight="1" spans="1:26" x14ac:dyDescent="0.25">
      <c r="A72" s="177"/>
      <c r="B72" s="177"/>
      <c r="C72" s="211"/>
      <c r="D72" s="211"/>
      <c r="E72" s="211"/>
      <c r="F72" s="211"/>
      <c r="G72" s="211"/>
      <c r="H72" s="211"/>
      <c r="I72" s="211"/>
      <c r="J72" s="211"/>
      <c r="K72" s="211"/>
      <c r="L72" s="177"/>
      <c r="M72" s="177"/>
      <c r="N72" s="177"/>
      <c r="O72" s="177"/>
      <c r="P72" s="177"/>
      <c r="Q72" s="177"/>
      <c r="R72" s="177"/>
      <c r="S72" s="177"/>
      <c r="T72" s="177"/>
      <c r="U72" s="177"/>
      <c r="V72" s="177"/>
      <c r="W72" s="177"/>
      <c r="X72" s="177"/>
      <c r="Y72" s="177"/>
      <c r="Z72" s="177"/>
    </row>
    <row r="73" ht="15.75" customHeight="1" spans="1:26" x14ac:dyDescent="0.25">
      <c r="A73" s="177"/>
      <c r="B73" s="177"/>
      <c r="C73" s="211"/>
      <c r="D73" s="211"/>
      <c r="E73" s="211"/>
      <c r="F73" s="211"/>
      <c r="G73" s="211"/>
      <c r="H73" s="211"/>
      <c r="I73" s="211"/>
      <c r="J73" s="211"/>
      <c r="K73" s="211"/>
      <c r="L73" s="177"/>
      <c r="M73" s="177"/>
      <c r="N73" s="177"/>
      <c r="O73" s="177"/>
      <c r="P73" s="177"/>
      <c r="Q73" s="177"/>
      <c r="R73" s="177"/>
      <c r="S73" s="177"/>
      <c r="T73" s="177"/>
      <c r="U73" s="177"/>
      <c r="V73" s="177"/>
      <c r="W73" s="177"/>
      <c r="X73" s="177"/>
      <c r="Y73" s="177"/>
      <c r="Z73" s="177"/>
    </row>
    <row r="74" ht="15.75" customHeight="1" spans="1:26" x14ac:dyDescent="0.25">
      <c r="A74" s="177"/>
      <c r="B74" s="177"/>
      <c r="C74" s="211"/>
      <c r="D74" s="211"/>
      <c r="E74" s="211"/>
      <c r="F74" s="211"/>
      <c r="G74" s="211"/>
      <c r="H74" s="211"/>
      <c r="I74" s="211"/>
      <c r="J74" s="211"/>
      <c r="K74" s="211"/>
      <c r="L74" s="177"/>
      <c r="M74" s="177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</row>
    <row r="75" ht="15.75" customHeight="1" spans="1:26" x14ac:dyDescent="0.25">
      <c r="A75" s="177"/>
      <c r="B75" s="177"/>
      <c r="C75" s="211"/>
      <c r="D75" s="211"/>
      <c r="E75" s="211"/>
      <c r="F75" s="211"/>
      <c r="G75" s="211"/>
      <c r="H75" s="211"/>
      <c r="I75" s="211"/>
      <c r="J75" s="211"/>
      <c r="K75" s="211"/>
      <c r="L75" s="177"/>
      <c r="M75" s="177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</row>
    <row r="76" ht="15.75" customHeight="1" spans="1:26" x14ac:dyDescent="0.25">
      <c r="A76" s="177"/>
      <c r="B76" s="177"/>
      <c r="C76" s="211"/>
      <c r="D76" s="211"/>
      <c r="E76" s="211"/>
      <c r="F76" s="211"/>
      <c r="G76" s="211"/>
      <c r="H76" s="211"/>
      <c r="I76" s="211"/>
      <c r="J76" s="211"/>
      <c r="K76" s="211"/>
      <c r="L76" s="177"/>
      <c r="M76" s="177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</row>
    <row r="77" ht="15.75" customHeight="1" spans="1:26" x14ac:dyDescent="0.25">
      <c r="A77" s="177"/>
      <c r="B77" s="177"/>
      <c r="C77" s="211"/>
      <c r="D77" s="211"/>
      <c r="E77" s="211"/>
      <c r="F77" s="211"/>
      <c r="G77" s="211"/>
      <c r="H77" s="211"/>
      <c r="I77" s="211"/>
      <c r="J77" s="211"/>
      <c r="K77" s="211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</row>
    <row r="78" ht="15.75" customHeight="1" spans="1:26" x14ac:dyDescent="0.25">
      <c r="A78" s="177"/>
      <c r="B78" s="177"/>
      <c r="C78" s="211"/>
      <c r="D78" s="211"/>
      <c r="E78" s="211"/>
      <c r="F78" s="211"/>
      <c r="G78" s="211"/>
      <c r="H78" s="211"/>
      <c r="I78" s="211"/>
      <c r="J78" s="211"/>
      <c r="K78" s="211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</row>
    <row r="79" ht="15.75" customHeight="1" spans="1:26" x14ac:dyDescent="0.25">
      <c r="A79" s="177"/>
      <c r="B79" s="177"/>
      <c r="C79" s="211"/>
      <c r="D79" s="211"/>
      <c r="E79" s="211"/>
      <c r="F79" s="211"/>
      <c r="G79" s="211"/>
      <c r="H79" s="211"/>
      <c r="I79" s="211"/>
      <c r="J79" s="211"/>
      <c r="K79" s="211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</row>
    <row r="80" ht="15.75" customHeight="1" spans="1:26" x14ac:dyDescent="0.25">
      <c r="A80" s="177"/>
      <c r="B80" s="177"/>
      <c r="C80" s="211"/>
      <c r="D80" s="211"/>
      <c r="E80" s="211"/>
      <c r="F80" s="211"/>
      <c r="G80" s="211"/>
      <c r="H80" s="211"/>
      <c r="I80" s="211"/>
      <c r="J80" s="211"/>
      <c r="K80" s="211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</row>
    <row r="81" ht="15.75" customHeight="1" spans="1:26" x14ac:dyDescent="0.25">
      <c r="A81" s="177"/>
      <c r="B81" s="177"/>
      <c r="C81" s="211"/>
      <c r="D81" s="211"/>
      <c r="E81" s="211"/>
      <c r="F81" s="211"/>
      <c r="G81" s="211"/>
      <c r="H81" s="211"/>
      <c r="I81" s="211"/>
      <c r="J81" s="211"/>
      <c r="K81" s="211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</row>
    <row r="82" ht="15.75" customHeight="1" spans="1:26" x14ac:dyDescent="0.25">
      <c r="A82" s="177"/>
      <c r="B82" s="177"/>
      <c r="C82" s="211"/>
      <c r="D82" s="211"/>
      <c r="E82" s="211"/>
      <c r="F82" s="211"/>
      <c r="G82" s="211"/>
      <c r="H82" s="211"/>
      <c r="I82" s="211"/>
      <c r="J82" s="211"/>
      <c r="K82" s="211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</row>
    <row r="83" ht="15.75" customHeight="1" spans="1:26" x14ac:dyDescent="0.25">
      <c r="A83" s="177"/>
      <c r="B83" s="177"/>
      <c r="C83" s="211"/>
      <c r="D83" s="211"/>
      <c r="E83" s="211"/>
      <c r="F83" s="211"/>
      <c r="G83" s="211"/>
      <c r="H83" s="211"/>
      <c r="I83" s="211"/>
      <c r="J83" s="211"/>
      <c r="K83" s="211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</row>
    <row r="84" ht="15.75" customHeight="1" spans="1:26" x14ac:dyDescent="0.25">
      <c r="A84" s="177"/>
      <c r="B84" s="177"/>
      <c r="C84" s="211"/>
      <c r="D84" s="211"/>
      <c r="E84" s="211"/>
      <c r="F84" s="211"/>
      <c r="G84" s="211"/>
      <c r="H84" s="211"/>
      <c r="I84" s="211"/>
      <c r="J84" s="211"/>
      <c r="K84" s="211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</row>
    <row r="85" ht="15.75" customHeight="1" spans="1:26" x14ac:dyDescent="0.25">
      <c r="A85" s="177"/>
      <c r="B85" s="177"/>
      <c r="C85" s="211"/>
      <c r="D85" s="211"/>
      <c r="E85" s="211"/>
      <c r="F85" s="211"/>
      <c r="G85" s="211"/>
      <c r="H85" s="211"/>
      <c r="I85" s="211"/>
      <c r="J85" s="211"/>
      <c r="K85" s="211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</row>
    <row r="86" ht="15.75" customHeight="1" spans="1:26" x14ac:dyDescent="0.25">
      <c r="A86" s="177"/>
      <c r="B86" s="177"/>
      <c r="C86" s="211"/>
      <c r="D86" s="211"/>
      <c r="E86" s="211"/>
      <c r="F86" s="211"/>
      <c r="G86" s="211"/>
      <c r="H86" s="211"/>
      <c r="I86" s="211"/>
      <c r="J86" s="211"/>
      <c r="K86" s="211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</row>
    <row r="87" ht="15.75" customHeight="1" spans="1:26" x14ac:dyDescent="0.25">
      <c r="A87" s="177"/>
      <c r="B87" s="177"/>
      <c r="C87" s="211"/>
      <c r="D87" s="211"/>
      <c r="E87" s="211"/>
      <c r="F87" s="211"/>
      <c r="G87" s="211"/>
      <c r="H87" s="211"/>
      <c r="I87" s="211"/>
      <c r="J87" s="211"/>
      <c r="K87" s="211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</row>
    <row r="88" ht="15.75" customHeight="1" spans="1:26" x14ac:dyDescent="0.25">
      <c r="A88" s="177"/>
      <c r="B88" s="177"/>
      <c r="C88" s="211"/>
      <c r="D88" s="211"/>
      <c r="E88" s="211"/>
      <c r="F88" s="211"/>
      <c r="G88" s="211"/>
      <c r="H88" s="211"/>
      <c r="I88" s="211"/>
      <c r="J88" s="211"/>
      <c r="K88" s="211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</row>
    <row r="89" ht="15.75" customHeight="1" spans="1:26" x14ac:dyDescent="0.25">
      <c r="A89" s="177"/>
      <c r="B89" s="177"/>
      <c r="C89" s="211"/>
      <c r="D89" s="211"/>
      <c r="E89" s="211"/>
      <c r="F89" s="211"/>
      <c r="G89" s="211"/>
      <c r="H89" s="211"/>
      <c r="I89" s="211"/>
      <c r="J89" s="211"/>
      <c r="K89" s="211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</row>
    <row r="90" ht="15.75" customHeight="1" spans="1:26" x14ac:dyDescent="0.25">
      <c r="A90" s="177"/>
      <c r="B90" s="177"/>
      <c r="C90" s="211"/>
      <c r="D90" s="211"/>
      <c r="E90" s="211"/>
      <c r="F90" s="211"/>
      <c r="G90" s="211"/>
      <c r="H90" s="211"/>
      <c r="I90" s="211"/>
      <c r="J90" s="211"/>
      <c r="K90" s="211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</row>
    <row r="91" ht="15.75" customHeight="1" spans="1:26" x14ac:dyDescent="0.25">
      <c r="A91" s="177"/>
      <c r="B91" s="177"/>
      <c r="C91" s="211"/>
      <c r="D91" s="211"/>
      <c r="E91" s="211"/>
      <c r="F91" s="211"/>
      <c r="G91" s="211"/>
      <c r="H91" s="211"/>
      <c r="I91" s="211"/>
      <c r="J91" s="211"/>
      <c r="K91" s="211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</row>
    <row r="92" ht="15.75" customHeight="1" spans="1:26" x14ac:dyDescent="0.25">
      <c r="A92" s="177"/>
      <c r="B92" s="177"/>
      <c r="C92" s="211"/>
      <c r="D92" s="211"/>
      <c r="E92" s="211"/>
      <c r="F92" s="211"/>
      <c r="G92" s="211"/>
      <c r="H92" s="211"/>
      <c r="I92" s="211"/>
      <c r="J92" s="211"/>
      <c r="K92" s="211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</row>
    <row r="93" ht="15.75" customHeight="1" spans="1:26" x14ac:dyDescent="0.25">
      <c r="A93" s="177"/>
      <c r="B93" s="177"/>
      <c r="C93" s="211"/>
      <c r="D93" s="211"/>
      <c r="E93" s="211"/>
      <c r="F93" s="211"/>
      <c r="G93" s="211"/>
      <c r="H93" s="211"/>
      <c r="I93" s="211"/>
      <c r="J93" s="211"/>
      <c r="K93" s="211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</row>
    <row r="94" ht="15.75" customHeight="1" spans="1:26" x14ac:dyDescent="0.25">
      <c r="A94" s="177"/>
      <c r="B94" s="177"/>
      <c r="C94" s="211"/>
      <c r="D94" s="211"/>
      <c r="E94" s="211"/>
      <c r="F94" s="211"/>
      <c r="G94" s="211"/>
      <c r="H94" s="211"/>
      <c r="I94" s="211"/>
      <c r="J94" s="211"/>
      <c r="K94" s="211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</row>
    <row r="95" ht="15.75" customHeight="1" spans="1:26" x14ac:dyDescent="0.25">
      <c r="A95" s="177"/>
      <c r="B95" s="177"/>
      <c r="C95" s="211"/>
      <c r="D95" s="211"/>
      <c r="E95" s="211"/>
      <c r="F95" s="211"/>
      <c r="G95" s="211"/>
      <c r="H95" s="211"/>
      <c r="I95" s="211"/>
      <c r="J95" s="211"/>
      <c r="K95" s="211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</row>
    <row r="96" ht="15.75" customHeight="1" spans="1:26" x14ac:dyDescent="0.25">
      <c r="A96" s="177"/>
      <c r="B96" s="177"/>
      <c r="C96" s="211"/>
      <c r="D96" s="211"/>
      <c r="E96" s="211"/>
      <c r="F96" s="211"/>
      <c r="G96" s="211"/>
      <c r="H96" s="211"/>
      <c r="I96" s="211"/>
      <c r="J96" s="211"/>
      <c r="K96" s="211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</row>
    <row r="97" ht="15.75" customHeight="1" spans="1:26" x14ac:dyDescent="0.25">
      <c r="A97" s="177"/>
      <c r="B97" s="177"/>
      <c r="C97" s="211"/>
      <c r="D97" s="211"/>
      <c r="E97" s="211"/>
      <c r="F97" s="211"/>
      <c r="G97" s="211"/>
      <c r="H97" s="211"/>
      <c r="I97" s="211"/>
      <c r="J97" s="211"/>
      <c r="K97" s="211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</row>
    <row r="98" ht="15.75" customHeight="1" spans="1:26" x14ac:dyDescent="0.25">
      <c r="A98" s="177"/>
      <c r="B98" s="177"/>
      <c r="C98" s="211"/>
      <c r="D98" s="211"/>
      <c r="E98" s="211"/>
      <c r="F98" s="211"/>
      <c r="G98" s="211"/>
      <c r="H98" s="211"/>
      <c r="I98" s="211"/>
      <c r="J98" s="211"/>
      <c r="K98" s="211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</row>
    <row r="99" ht="15.75" customHeight="1" spans="1:26" x14ac:dyDescent="0.25">
      <c r="A99" s="177"/>
      <c r="B99" s="177"/>
      <c r="C99" s="211"/>
      <c r="D99" s="211"/>
      <c r="E99" s="211"/>
      <c r="F99" s="211"/>
      <c r="G99" s="211"/>
      <c r="H99" s="211"/>
      <c r="I99" s="211"/>
      <c r="J99" s="211"/>
      <c r="K99" s="211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</row>
    <row r="100" ht="15.75" customHeight="1" spans="1:26" x14ac:dyDescent="0.25">
      <c r="A100" s="177"/>
      <c r="B100" s="177"/>
      <c r="C100" s="211"/>
      <c r="D100" s="211"/>
      <c r="E100" s="211"/>
      <c r="F100" s="211"/>
      <c r="G100" s="211"/>
      <c r="H100" s="211"/>
      <c r="I100" s="211"/>
      <c r="J100" s="211"/>
      <c r="K100" s="211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</row>
    <row r="101" ht="15.75" customHeight="1" spans="1:26" x14ac:dyDescent="0.25">
      <c r="A101" s="177"/>
      <c r="B101" s="177"/>
      <c r="C101" s="211"/>
      <c r="D101" s="211"/>
      <c r="E101" s="211"/>
      <c r="F101" s="211"/>
      <c r="G101" s="211"/>
      <c r="H101" s="211"/>
      <c r="I101" s="211"/>
      <c r="J101" s="211"/>
      <c r="K101" s="211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</row>
    <row r="102" ht="15.75" customHeight="1" spans="1:26" x14ac:dyDescent="0.25">
      <c r="A102" s="177"/>
      <c r="B102" s="177"/>
      <c r="C102" s="211"/>
      <c r="D102" s="211"/>
      <c r="E102" s="211"/>
      <c r="F102" s="211"/>
      <c r="G102" s="211"/>
      <c r="H102" s="211"/>
      <c r="I102" s="211"/>
      <c r="J102" s="211"/>
      <c r="K102" s="211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</row>
    <row r="103" ht="15.75" customHeight="1" spans="1:26" x14ac:dyDescent="0.25">
      <c r="A103" s="177"/>
      <c r="B103" s="177"/>
      <c r="C103" s="211"/>
      <c r="D103" s="211"/>
      <c r="E103" s="211"/>
      <c r="F103" s="211"/>
      <c r="G103" s="211"/>
      <c r="H103" s="211"/>
      <c r="I103" s="211"/>
      <c r="J103" s="211"/>
      <c r="K103" s="211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</row>
    <row r="104" ht="15.75" customHeight="1" spans="1:26" x14ac:dyDescent="0.25">
      <c r="A104" s="177"/>
      <c r="B104" s="177"/>
      <c r="C104" s="211"/>
      <c r="D104" s="211"/>
      <c r="E104" s="211"/>
      <c r="F104" s="211"/>
      <c r="G104" s="211"/>
      <c r="H104" s="211"/>
      <c r="I104" s="211"/>
      <c r="J104" s="211"/>
      <c r="K104" s="211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</row>
    <row r="105" ht="15.75" customHeight="1" spans="1:26" x14ac:dyDescent="0.25">
      <c r="A105" s="177"/>
      <c r="B105" s="177"/>
      <c r="C105" s="211"/>
      <c r="D105" s="211"/>
      <c r="E105" s="211"/>
      <c r="F105" s="211"/>
      <c r="G105" s="211"/>
      <c r="H105" s="211"/>
      <c r="I105" s="211"/>
      <c r="J105" s="211"/>
      <c r="K105" s="211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</row>
    <row r="106" ht="15.75" customHeight="1" spans="1:26" x14ac:dyDescent="0.25">
      <c r="A106" s="177"/>
      <c r="B106" s="177"/>
      <c r="C106" s="211"/>
      <c r="D106" s="211"/>
      <c r="E106" s="211"/>
      <c r="F106" s="211"/>
      <c r="G106" s="211"/>
      <c r="H106" s="211"/>
      <c r="I106" s="211"/>
      <c r="J106" s="211"/>
      <c r="K106" s="211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</row>
    <row r="107" ht="15.75" customHeight="1" spans="1:26" x14ac:dyDescent="0.25">
      <c r="A107" s="177"/>
      <c r="B107" s="177"/>
      <c r="C107" s="211"/>
      <c r="D107" s="211"/>
      <c r="E107" s="211"/>
      <c r="F107" s="211"/>
      <c r="G107" s="211"/>
      <c r="H107" s="211"/>
      <c r="I107" s="211"/>
      <c r="J107" s="211"/>
      <c r="K107" s="211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</row>
    <row r="108" ht="15.75" customHeight="1" spans="1:26" x14ac:dyDescent="0.25">
      <c r="A108" s="177"/>
      <c r="B108" s="177"/>
      <c r="C108" s="211"/>
      <c r="D108" s="211"/>
      <c r="E108" s="211"/>
      <c r="F108" s="211"/>
      <c r="G108" s="211"/>
      <c r="H108" s="211"/>
      <c r="I108" s="211"/>
      <c r="J108" s="211"/>
      <c r="K108" s="211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</row>
    <row r="109" ht="15.75" customHeight="1" spans="1:26" x14ac:dyDescent="0.25">
      <c r="A109" s="177"/>
      <c r="B109" s="177"/>
      <c r="C109" s="211"/>
      <c r="D109" s="211"/>
      <c r="E109" s="211"/>
      <c r="F109" s="211"/>
      <c r="G109" s="211"/>
      <c r="H109" s="211"/>
      <c r="I109" s="211"/>
      <c r="J109" s="211"/>
      <c r="K109" s="211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</row>
    <row r="110" ht="15.75" customHeight="1" spans="1:26" x14ac:dyDescent="0.25">
      <c r="A110" s="177"/>
      <c r="B110" s="177"/>
      <c r="C110" s="211"/>
      <c r="D110" s="211"/>
      <c r="E110" s="211"/>
      <c r="F110" s="211"/>
      <c r="G110" s="211"/>
      <c r="H110" s="211"/>
      <c r="I110" s="211"/>
      <c r="J110" s="211"/>
      <c r="K110" s="211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</row>
    <row r="111" ht="15.75" customHeight="1" spans="1:26" x14ac:dyDescent="0.25">
      <c r="A111" s="177"/>
      <c r="B111" s="177"/>
      <c r="C111" s="211"/>
      <c r="D111" s="211"/>
      <c r="E111" s="211"/>
      <c r="F111" s="211"/>
      <c r="G111" s="211"/>
      <c r="H111" s="211"/>
      <c r="I111" s="211"/>
      <c r="J111" s="211"/>
      <c r="K111" s="211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</row>
    <row r="112" ht="15.75" customHeight="1" spans="1:26" x14ac:dyDescent="0.25">
      <c r="A112" s="177"/>
      <c r="B112" s="177"/>
      <c r="C112" s="211"/>
      <c r="D112" s="211"/>
      <c r="E112" s="211"/>
      <c r="F112" s="211"/>
      <c r="G112" s="211"/>
      <c r="H112" s="211"/>
      <c r="I112" s="211"/>
      <c r="J112" s="211"/>
      <c r="K112" s="211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</row>
    <row r="113" ht="15.75" customHeight="1" spans="1:26" x14ac:dyDescent="0.25">
      <c r="A113" s="177"/>
      <c r="B113" s="177"/>
      <c r="C113" s="211"/>
      <c r="D113" s="211"/>
      <c r="E113" s="211"/>
      <c r="F113" s="211"/>
      <c r="G113" s="211"/>
      <c r="H113" s="211"/>
      <c r="I113" s="211"/>
      <c r="J113" s="211"/>
      <c r="K113" s="211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</row>
    <row r="114" ht="15.75" customHeight="1" spans="1:26" x14ac:dyDescent="0.25">
      <c r="A114" s="177"/>
      <c r="B114" s="177"/>
      <c r="C114" s="211"/>
      <c r="D114" s="211"/>
      <c r="E114" s="211"/>
      <c r="F114" s="211"/>
      <c r="G114" s="211"/>
      <c r="H114" s="211"/>
      <c r="I114" s="211"/>
      <c r="J114" s="211"/>
      <c r="K114" s="211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</row>
    <row r="115" ht="15.75" customHeight="1" spans="1:26" x14ac:dyDescent="0.25">
      <c r="A115" s="177"/>
      <c r="B115" s="177"/>
      <c r="C115" s="211"/>
      <c r="D115" s="211"/>
      <c r="E115" s="211"/>
      <c r="F115" s="211"/>
      <c r="G115" s="211"/>
      <c r="H115" s="211"/>
      <c r="I115" s="211"/>
      <c r="J115" s="211"/>
      <c r="K115" s="211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</row>
    <row r="116" ht="15.75" customHeight="1" spans="1:26" x14ac:dyDescent="0.25">
      <c r="A116" s="177"/>
      <c r="B116" s="177"/>
      <c r="C116" s="211"/>
      <c r="D116" s="211"/>
      <c r="E116" s="211"/>
      <c r="F116" s="211"/>
      <c r="G116" s="211"/>
      <c r="H116" s="211"/>
      <c r="I116" s="211"/>
      <c r="J116" s="211"/>
      <c r="K116" s="211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</row>
    <row r="117" ht="15.75" customHeight="1" spans="1:26" x14ac:dyDescent="0.25">
      <c r="A117" s="177"/>
      <c r="B117" s="177"/>
      <c r="C117" s="211"/>
      <c r="D117" s="211"/>
      <c r="E117" s="211"/>
      <c r="F117" s="211"/>
      <c r="G117" s="211"/>
      <c r="H117" s="211"/>
      <c r="I117" s="211"/>
      <c r="J117" s="211"/>
      <c r="K117" s="211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</row>
    <row r="118" ht="15.75" customHeight="1" spans="1:26" x14ac:dyDescent="0.25">
      <c r="A118" s="177"/>
      <c r="B118" s="177"/>
      <c r="C118" s="211"/>
      <c r="D118" s="211"/>
      <c r="E118" s="211"/>
      <c r="F118" s="211"/>
      <c r="G118" s="211"/>
      <c r="H118" s="211"/>
      <c r="I118" s="211"/>
      <c r="J118" s="211"/>
      <c r="K118" s="211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</row>
    <row r="119" ht="15.75" customHeight="1" spans="1:26" x14ac:dyDescent="0.25">
      <c r="A119" s="177"/>
      <c r="B119" s="177"/>
      <c r="C119" s="211"/>
      <c r="D119" s="211"/>
      <c r="E119" s="211"/>
      <c r="F119" s="211"/>
      <c r="G119" s="211"/>
      <c r="H119" s="211"/>
      <c r="I119" s="211"/>
      <c r="J119" s="211"/>
      <c r="K119" s="211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</row>
    <row r="120" ht="15.75" customHeight="1" spans="1:26" x14ac:dyDescent="0.25">
      <c r="A120" s="177"/>
      <c r="B120" s="177"/>
      <c r="C120" s="211"/>
      <c r="D120" s="211"/>
      <c r="E120" s="211"/>
      <c r="F120" s="211"/>
      <c r="G120" s="211"/>
      <c r="H120" s="211"/>
      <c r="I120" s="211"/>
      <c r="J120" s="211"/>
      <c r="K120" s="211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</row>
    <row r="121" ht="15.75" customHeight="1" spans="1:26" x14ac:dyDescent="0.25">
      <c r="A121" s="177"/>
      <c r="B121" s="177"/>
      <c r="C121" s="211"/>
      <c r="D121" s="211"/>
      <c r="E121" s="211"/>
      <c r="F121" s="211"/>
      <c r="G121" s="211"/>
      <c r="H121" s="211"/>
      <c r="I121" s="211"/>
      <c r="J121" s="211"/>
      <c r="K121" s="211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</row>
    <row r="122" ht="15.75" customHeight="1" spans="1:26" x14ac:dyDescent="0.25">
      <c r="A122" s="177"/>
      <c r="B122" s="177"/>
      <c r="C122" s="211"/>
      <c r="D122" s="211"/>
      <c r="E122" s="211"/>
      <c r="F122" s="211"/>
      <c r="G122" s="211"/>
      <c r="H122" s="211"/>
      <c r="I122" s="211"/>
      <c r="J122" s="211"/>
      <c r="K122" s="211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</row>
    <row r="123" ht="15.75" customHeight="1" spans="1:26" x14ac:dyDescent="0.25">
      <c r="A123" s="177"/>
      <c r="B123" s="177"/>
      <c r="C123" s="211"/>
      <c r="D123" s="211"/>
      <c r="E123" s="211"/>
      <c r="F123" s="211"/>
      <c r="G123" s="211"/>
      <c r="H123" s="211"/>
      <c r="I123" s="211"/>
      <c r="J123" s="211"/>
      <c r="K123" s="211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</row>
    <row r="124" ht="15.75" customHeight="1" spans="1:26" x14ac:dyDescent="0.25">
      <c r="A124" s="177"/>
      <c r="B124" s="177"/>
      <c r="C124" s="211"/>
      <c r="D124" s="211"/>
      <c r="E124" s="211"/>
      <c r="F124" s="211"/>
      <c r="G124" s="211"/>
      <c r="H124" s="211"/>
      <c r="I124" s="211"/>
      <c r="J124" s="211"/>
      <c r="K124" s="211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</row>
    <row r="125" ht="15.75" customHeight="1" spans="1:26" x14ac:dyDescent="0.25">
      <c r="A125" s="177"/>
      <c r="B125" s="177"/>
      <c r="C125" s="211"/>
      <c r="D125" s="211"/>
      <c r="E125" s="211"/>
      <c r="F125" s="211"/>
      <c r="G125" s="211"/>
      <c r="H125" s="211"/>
      <c r="I125" s="211"/>
      <c r="J125" s="211"/>
      <c r="K125" s="211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</row>
    <row r="126" ht="15.75" customHeight="1" spans="1:26" x14ac:dyDescent="0.25">
      <c r="A126" s="177"/>
      <c r="B126" s="177"/>
      <c r="C126" s="211"/>
      <c r="D126" s="211"/>
      <c r="E126" s="211"/>
      <c r="F126" s="211"/>
      <c r="G126" s="211"/>
      <c r="H126" s="211"/>
      <c r="I126" s="211"/>
      <c r="J126" s="211"/>
      <c r="K126" s="211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</row>
    <row r="127" ht="15.75" customHeight="1" spans="1:26" x14ac:dyDescent="0.25">
      <c r="A127" s="177"/>
      <c r="B127" s="177"/>
      <c r="C127" s="211"/>
      <c r="D127" s="211"/>
      <c r="E127" s="211"/>
      <c r="F127" s="211"/>
      <c r="G127" s="211"/>
      <c r="H127" s="211"/>
      <c r="I127" s="211"/>
      <c r="J127" s="211"/>
      <c r="K127" s="211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</row>
    <row r="128" ht="15.75" customHeight="1" spans="1:26" x14ac:dyDescent="0.25">
      <c r="A128" s="177"/>
      <c r="B128" s="177"/>
      <c r="C128" s="211"/>
      <c r="D128" s="211"/>
      <c r="E128" s="211"/>
      <c r="F128" s="211"/>
      <c r="G128" s="211"/>
      <c r="H128" s="211"/>
      <c r="I128" s="211"/>
      <c r="J128" s="211"/>
      <c r="K128" s="211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</row>
    <row r="129" ht="15.75" customHeight="1" spans="1:26" x14ac:dyDescent="0.25">
      <c r="A129" s="177"/>
      <c r="B129" s="177"/>
      <c r="C129" s="211"/>
      <c r="D129" s="211"/>
      <c r="E129" s="211"/>
      <c r="F129" s="211"/>
      <c r="G129" s="211"/>
      <c r="H129" s="211"/>
      <c r="I129" s="211"/>
      <c r="J129" s="211"/>
      <c r="K129" s="211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</row>
    <row r="130" ht="15.75" customHeight="1" spans="1:26" x14ac:dyDescent="0.25">
      <c r="A130" s="177"/>
      <c r="B130" s="177"/>
      <c r="C130" s="211"/>
      <c r="D130" s="211"/>
      <c r="E130" s="211"/>
      <c r="F130" s="211"/>
      <c r="G130" s="211"/>
      <c r="H130" s="211"/>
      <c r="I130" s="211"/>
      <c r="J130" s="211"/>
      <c r="K130" s="211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</row>
    <row r="131" ht="15.75" customHeight="1" spans="1:26" x14ac:dyDescent="0.25">
      <c r="A131" s="177"/>
      <c r="B131" s="177"/>
      <c r="C131" s="211"/>
      <c r="D131" s="211"/>
      <c r="E131" s="211"/>
      <c r="F131" s="211"/>
      <c r="G131" s="211"/>
      <c r="H131" s="211"/>
      <c r="I131" s="211"/>
      <c r="J131" s="211"/>
      <c r="K131" s="211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</row>
    <row r="132" ht="15.75" customHeight="1" spans="1:26" x14ac:dyDescent="0.25">
      <c r="A132" s="177"/>
      <c r="B132" s="177"/>
      <c r="C132" s="211"/>
      <c r="D132" s="211"/>
      <c r="E132" s="211"/>
      <c r="F132" s="211"/>
      <c r="G132" s="211"/>
      <c r="H132" s="211"/>
      <c r="I132" s="211"/>
      <c r="J132" s="211"/>
      <c r="K132" s="211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</row>
    <row r="133" ht="15.75" customHeight="1" spans="1:26" x14ac:dyDescent="0.25">
      <c r="A133" s="177"/>
      <c r="B133" s="177"/>
      <c r="C133" s="211"/>
      <c r="D133" s="211"/>
      <c r="E133" s="211"/>
      <c r="F133" s="211"/>
      <c r="G133" s="211"/>
      <c r="H133" s="211"/>
      <c r="I133" s="211"/>
      <c r="J133" s="211"/>
      <c r="K133" s="211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</row>
    <row r="134" ht="15.75" customHeight="1" spans="1:26" x14ac:dyDescent="0.25">
      <c r="A134" s="177"/>
      <c r="B134" s="177"/>
      <c r="C134" s="211"/>
      <c r="D134" s="211"/>
      <c r="E134" s="211"/>
      <c r="F134" s="211"/>
      <c r="G134" s="211"/>
      <c r="H134" s="211"/>
      <c r="I134" s="211"/>
      <c r="J134" s="211"/>
      <c r="K134" s="211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</row>
    <row r="135" ht="15.75" customHeight="1" spans="1:26" x14ac:dyDescent="0.25">
      <c r="A135" s="177"/>
      <c r="B135" s="177"/>
      <c r="C135" s="211"/>
      <c r="D135" s="211"/>
      <c r="E135" s="211"/>
      <c r="F135" s="211"/>
      <c r="G135" s="211"/>
      <c r="H135" s="211"/>
      <c r="I135" s="211"/>
      <c r="J135" s="211"/>
      <c r="K135" s="211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</row>
    <row r="136" ht="15.75" customHeight="1" spans="1:26" x14ac:dyDescent="0.25">
      <c r="A136" s="177"/>
      <c r="B136" s="177"/>
      <c r="C136" s="211"/>
      <c r="D136" s="211"/>
      <c r="E136" s="211"/>
      <c r="F136" s="211"/>
      <c r="G136" s="211"/>
      <c r="H136" s="211"/>
      <c r="I136" s="211"/>
      <c r="J136" s="211"/>
      <c r="K136" s="211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</row>
    <row r="137" ht="15.75" customHeight="1" spans="1:26" x14ac:dyDescent="0.25">
      <c r="A137" s="177"/>
      <c r="B137" s="177"/>
      <c r="C137" s="211"/>
      <c r="D137" s="211"/>
      <c r="E137" s="211"/>
      <c r="F137" s="211"/>
      <c r="G137" s="211"/>
      <c r="H137" s="211"/>
      <c r="I137" s="211"/>
      <c r="J137" s="211"/>
      <c r="K137" s="211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</row>
    <row r="138" ht="15.75" customHeight="1" spans="1:26" x14ac:dyDescent="0.25">
      <c r="A138" s="177"/>
      <c r="B138" s="177"/>
      <c r="C138" s="211"/>
      <c r="D138" s="211"/>
      <c r="E138" s="211"/>
      <c r="F138" s="211"/>
      <c r="G138" s="211"/>
      <c r="H138" s="211"/>
      <c r="I138" s="211"/>
      <c r="J138" s="211"/>
      <c r="K138" s="211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</row>
    <row r="139" ht="15.75" customHeight="1" spans="1:26" x14ac:dyDescent="0.25">
      <c r="A139" s="177"/>
      <c r="B139" s="177"/>
      <c r="C139" s="211"/>
      <c r="D139" s="211"/>
      <c r="E139" s="211"/>
      <c r="F139" s="211"/>
      <c r="G139" s="211"/>
      <c r="H139" s="211"/>
      <c r="I139" s="211"/>
      <c r="J139" s="211"/>
      <c r="K139" s="211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</row>
    <row r="140" ht="15.75" customHeight="1" spans="1:26" x14ac:dyDescent="0.25">
      <c r="A140" s="177"/>
      <c r="B140" s="177"/>
      <c r="C140" s="211"/>
      <c r="D140" s="211"/>
      <c r="E140" s="211"/>
      <c r="F140" s="211"/>
      <c r="G140" s="211"/>
      <c r="H140" s="211"/>
      <c r="I140" s="211"/>
      <c r="J140" s="211"/>
      <c r="K140" s="211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</row>
    <row r="141" ht="15.75" customHeight="1" spans="1:26" x14ac:dyDescent="0.25">
      <c r="A141" s="177"/>
      <c r="B141" s="177"/>
      <c r="C141" s="211"/>
      <c r="D141" s="211"/>
      <c r="E141" s="211"/>
      <c r="F141" s="211"/>
      <c r="G141" s="211"/>
      <c r="H141" s="211"/>
      <c r="I141" s="211"/>
      <c r="J141" s="211"/>
      <c r="K141" s="211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</row>
    <row r="142" ht="15.75" customHeight="1" spans="1:26" x14ac:dyDescent="0.25">
      <c r="A142" s="177"/>
      <c r="B142" s="177"/>
      <c r="C142" s="211"/>
      <c r="D142" s="211"/>
      <c r="E142" s="211"/>
      <c r="F142" s="211"/>
      <c r="G142" s="211"/>
      <c r="H142" s="211"/>
      <c r="I142" s="211"/>
      <c r="J142" s="211"/>
      <c r="K142" s="211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</row>
    <row r="143" ht="15.75" customHeight="1" spans="1:26" x14ac:dyDescent="0.25">
      <c r="A143" s="177"/>
      <c r="B143" s="177"/>
      <c r="C143" s="211"/>
      <c r="D143" s="211"/>
      <c r="E143" s="211"/>
      <c r="F143" s="211"/>
      <c r="G143" s="211"/>
      <c r="H143" s="211"/>
      <c r="I143" s="211"/>
      <c r="J143" s="211"/>
      <c r="K143" s="211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</row>
    <row r="144" ht="15.75" customHeight="1" spans="1:26" x14ac:dyDescent="0.25">
      <c r="A144" s="177"/>
      <c r="B144" s="177"/>
      <c r="C144" s="211"/>
      <c r="D144" s="211"/>
      <c r="E144" s="211"/>
      <c r="F144" s="211"/>
      <c r="G144" s="211"/>
      <c r="H144" s="211"/>
      <c r="I144" s="211"/>
      <c r="J144" s="211"/>
      <c r="K144" s="211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</row>
    <row r="145" ht="15.75" customHeight="1" spans="1:26" x14ac:dyDescent="0.25">
      <c r="A145" s="177"/>
      <c r="B145" s="177"/>
      <c r="C145" s="211"/>
      <c r="D145" s="211"/>
      <c r="E145" s="211"/>
      <c r="F145" s="211"/>
      <c r="G145" s="211"/>
      <c r="H145" s="211"/>
      <c r="I145" s="211"/>
      <c r="J145" s="211"/>
      <c r="K145" s="211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</row>
    <row r="146" ht="15.75" customHeight="1" spans="1:26" x14ac:dyDescent="0.25">
      <c r="A146" s="177"/>
      <c r="B146" s="177"/>
      <c r="C146" s="211"/>
      <c r="D146" s="211"/>
      <c r="E146" s="211"/>
      <c r="F146" s="211"/>
      <c r="G146" s="211"/>
      <c r="H146" s="211"/>
      <c r="I146" s="211"/>
      <c r="J146" s="211"/>
      <c r="K146" s="211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</row>
    <row r="147" ht="15.75" customHeight="1" spans="1:26" x14ac:dyDescent="0.25">
      <c r="A147" s="177"/>
      <c r="B147" s="177"/>
      <c r="C147" s="211"/>
      <c r="D147" s="211"/>
      <c r="E147" s="211"/>
      <c r="F147" s="211"/>
      <c r="G147" s="211"/>
      <c r="H147" s="211"/>
      <c r="I147" s="211"/>
      <c r="J147" s="211"/>
      <c r="K147" s="211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</row>
    <row r="148" ht="15.75" customHeight="1" spans="1:26" x14ac:dyDescent="0.25">
      <c r="A148" s="177"/>
      <c r="B148" s="177"/>
      <c r="C148" s="211"/>
      <c r="D148" s="211"/>
      <c r="E148" s="211"/>
      <c r="F148" s="211"/>
      <c r="G148" s="211"/>
      <c r="H148" s="211"/>
      <c r="I148" s="211"/>
      <c r="J148" s="211"/>
      <c r="K148" s="211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</row>
    <row r="149" ht="15.75" customHeight="1" spans="1:26" x14ac:dyDescent="0.25">
      <c r="A149" s="177"/>
      <c r="B149" s="177"/>
      <c r="C149" s="211"/>
      <c r="D149" s="211"/>
      <c r="E149" s="211"/>
      <c r="F149" s="211"/>
      <c r="G149" s="211"/>
      <c r="H149" s="211"/>
      <c r="I149" s="211"/>
      <c r="J149" s="211"/>
      <c r="K149" s="211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</row>
    <row r="150" ht="15.75" customHeight="1" spans="1:26" x14ac:dyDescent="0.25">
      <c r="A150" s="177"/>
      <c r="B150" s="177"/>
      <c r="C150" s="211"/>
      <c r="D150" s="211"/>
      <c r="E150" s="211"/>
      <c r="F150" s="211"/>
      <c r="G150" s="211"/>
      <c r="H150" s="211"/>
      <c r="I150" s="211"/>
      <c r="J150" s="211"/>
      <c r="K150" s="211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</row>
    <row r="151" ht="15.75" customHeight="1" spans="1:26" x14ac:dyDescent="0.25">
      <c r="A151" s="177"/>
      <c r="B151" s="177"/>
      <c r="C151" s="211"/>
      <c r="D151" s="211"/>
      <c r="E151" s="211"/>
      <c r="F151" s="211"/>
      <c r="G151" s="211"/>
      <c r="H151" s="211"/>
      <c r="I151" s="211"/>
      <c r="J151" s="211"/>
      <c r="K151" s="211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</row>
    <row r="152" ht="15.75" customHeight="1" spans="1:26" x14ac:dyDescent="0.25">
      <c r="A152" s="177"/>
      <c r="B152" s="177"/>
      <c r="C152" s="211"/>
      <c r="D152" s="211"/>
      <c r="E152" s="211"/>
      <c r="F152" s="211"/>
      <c r="G152" s="211"/>
      <c r="H152" s="211"/>
      <c r="I152" s="211"/>
      <c r="J152" s="211"/>
      <c r="K152" s="211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</row>
    <row r="153" ht="15.75" customHeight="1" spans="1:26" x14ac:dyDescent="0.25">
      <c r="A153" s="177"/>
      <c r="B153" s="177"/>
      <c r="C153" s="211"/>
      <c r="D153" s="211"/>
      <c r="E153" s="211"/>
      <c r="F153" s="211"/>
      <c r="G153" s="211"/>
      <c r="H153" s="211"/>
      <c r="I153" s="211"/>
      <c r="J153" s="211"/>
      <c r="K153" s="211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</row>
    <row r="154" ht="15.75" customHeight="1" spans="1:26" x14ac:dyDescent="0.25">
      <c r="A154" s="177"/>
      <c r="B154" s="177"/>
      <c r="C154" s="211"/>
      <c r="D154" s="211"/>
      <c r="E154" s="211"/>
      <c r="F154" s="211"/>
      <c r="G154" s="211"/>
      <c r="H154" s="211"/>
      <c r="I154" s="211"/>
      <c r="J154" s="211"/>
      <c r="K154" s="211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</row>
    <row r="155" ht="15.75" customHeight="1" spans="1:26" x14ac:dyDescent="0.25">
      <c r="A155" s="177"/>
      <c r="B155" s="177"/>
      <c r="C155" s="211"/>
      <c r="D155" s="211"/>
      <c r="E155" s="211"/>
      <c r="F155" s="211"/>
      <c r="G155" s="211"/>
      <c r="H155" s="211"/>
      <c r="I155" s="211"/>
      <c r="J155" s="211"/>
      <c r="K155" s="211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</row>
    <row r="156" ht="15.75" customHeight="1" spans="1:26" x14ac:dyDescent="0.25">
      <c r="A156" s="177"/>
      <c r="B156" s="177"/>
      <c r="C156" s="211"/>
      <c r="D156" s="211"/>
      <c r="E156" s="211"/>
      <c r="F156" s="211"/>
      <c r="G156" s="211"/>
      <c r="H156" s="211"/>
      <c r="I156" s="211"/>
      <c r="J156" s="211"/>
      <c r="K156" s="211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</row>
    <row r="157" ht="15.75" customHeight="1" spans="1:26" x14ac:dyDescent="0.25">
      <c r="A157" s="177"/>
      <c r="B157" s="177"/>
      <c r="C157" s="211"/>
      <c r="D157" s="211"/>
      <c r="E157" s="211"/>
      <c r="F157" s="211"/>
      <c r="G157" s="211"/>
      <c r="H157" s="211"/>
      <c r="I157" s="211"/>
      <c r="J157" s="211"/>
      <c r="K157" s="211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</row>
    <row r="158" ht="15.75" customHeight="1" spans="1:26" x14ac:dyDescent="0.25">
      <c r="A158" s="177"/>
      <c r="B158" s="177"/>
      <c r="C158" s="211"/>
      <c r="D158" s="211"/>
      <c r="E158" s="211"/>
      <c r="F158" s="211"/>
      <c r="G158" s="211"/>
      <c r="H158" s="211"/>
      <c r="I158" s="211"/>
      <c r="J158" s="211"/>
      <c r="K158" s="211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</row>
    <row r="159" ht="15.75" customHeight="1" spans="1:26" x14ac:dyDescent="0.25">
      <c r="A159" s="177"/>
      <c r="B159" s="177"/>
      <c r="C159" s="211"/>
      <c r="D159" s="211"/>
      <c r="E159" s="211"/>
      <c r="F159" s="211"/>
      <c r="G159" s="211"/>
      <c r="H159" s="211"/>
      <c r="I159" s="211"/>
      <c r="J159" s="211"/>
      <c r="K159" s="211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</row>
    <row r="160" ht="15.75" customHeight="1" spans="1:26" x14ac:dyDescent="0.25">
      <c r="A160" s="177"/>
      <c r="B160" s="177"/>
      <c r="C160" s="211"/>
      <c r="D160" s="211"/>
      <c r="E160" s="211"/>
      <c r="F160" s="211"/>
      <c r="G160" s="211"/>
      <c r="H160" s="211"/>
      <c r="I160" s="211"/>
      <c r="J160" s="211"/>
      <c r="K160" s="211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</row>
    <row r="161" ht="15.75" customHeight="1" spans="1:26" x14ac:dyDescent="0.25">
      <c r="A161" s="177"/>
      <c r="B161" s="177"/>
      <c r="C161" s="211"/>
      <c r="D161" s="211"/>
      <c r="E161" s="211"/>
      <c r="F161" s="211"/>
      <c r="G161" s="211"/>
      <c r="H161" s="211"/>
      <c r="I161" s="211"/>
      <c r="J161" s="211"/>
      <c r="K161" s="211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</row>
    <row r="162" ht="15.75" customHeight="1" spans="1:26" x14ac:dyDescent="0.25">
      <c r="A162" s="177"/>
      <c r="B162" s="177"/>
      <c r="C162" s="211"/>
      <c r="D162" s="211"/>
      <c r="E162" s="211"/>
      <c r="F162" s="211"/>
      <c r="G162" s="211"/>
      <c r="H162" s="211"/>
      <c r="I162" s="211"/>
      <c r="J162" s="211"/>
      <c r="K162" s="211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</row>
    <row r="163" ht="15.75" customHeight="1" spans="1:26" x14ac:dyDescent="0.25">
      <c r="A163" s="177"/>
      <c r="B163" s="177"/>
      <c r="C163" s="211"/>
      <c r="D163" s="211"/>
      <c r="E163" s="211"/>
      <c r="F163" s="211"/>
      <c r="G163" s="211"/>
      <c r="H163" s="211"/>
      <c r="I163" s="211"/>
      <c r="J163" s="211"/>
      <c r="K163" s="211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</row>
    <row r="164" ht="15.75" customHeight="1" spans="1:26" x14ac:dyDescent="0.25">
      <c r="A164" s="177"/>
      <c r="B164" s="177"/>
      <c r="C164" s="211"/>
      <c r="D164" s="211"/>
      <c r="E164" s="211"/>
      <c r="F164" s="211"/>
      <c r="G164" s="211"/>
      <c r="H164" s="211"/>
      <c r="I164" s="211"/>
      <c r="J164" s="211"/>
      <c r="K164" s="211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</row>
    <row r="165" ht="15.75" customHeight="1" spans="1:26" x14ac:dyDescent="0.25">
      <c r="A165" s="177"/>
      <c r="B165" s="177"/>
      <c r="C165" s="211"/>
      <c r="D165" s="211"/>
      <c r="E165" s="211"/>
      <c r="F165" s="211"/>
      <c r="G165" s="211"/>
      <c r="H165" s="211"/>
      <c r="I165" s="211"/>
      <c r="J165" s="211"/>
      <c r="K165" s="211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</row>
    <row r="166" ht="15.75" customHeight="1" spans="1:26" x14ac:dyDescent="0.25">
      <c r="A166" s="177"/>
      <c r="B166" s="177"/>
      <c r="C166" s="211"/>
      <c r="D166" s="211"/>
      <c r="E166" s="211"/>
      <c r="F166" s="211"/>
      <c r="G166" s="211"/>
      <c r="H166" s="211"/>
      <c r="I166" s="211"/>
      <c r="J166" s="211"/>
      <c r="K166" s="211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</row>
    <row r="167" ht="15.75" customHeight="1" spans="1:26" x14ac:dyDescent="0.25">
      <c r="A167" s="177"/>
      <c r="B167" s="177"/>
      <c r="C167" s="211"/>
      <c r="D167" s="211"/>
      <c r="E167" s="211"/>
      <c r="F167" s="211"/>
      <c r="G167" s="211"/>
      <c r="H167" s="211"/>
      <c r="I167" s="211"/>
      <c r="J167" s="211"/>
      <c r="K167" s="211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</row>
    <row r="168" ht="15.75" customHeight="1" spans="1:26" x14ac:dyDescent="0.25">
      <c r="A168" s="177"/>
      <c r="B168" s="177"/>
      <c r="C168" s="211"/>
      <c r="D168" s="211"/>
      <c r="E168" s="211"/>
      <c r="F168" s="211"/>
      <c r="G168" s="211"/>
      <c r="H168" s="211"/>
      <c r="I168" s="211"/>
      <c r="J168" s="211"/>
      <c r="K168" s="211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</row>
    <row r="169" ht="15.75" customHeight="1" spans="1:26" x14ac:dyDescent="0.25">
      <c r="A169" s="177"/>
      <c r="B169" s="177"/>
      <c r="C169" s="211"/>
      <c r="D169" s="211"/>
      <c r="E169" s="211"/>
      <c r="F169" s="211"/>
      <c r="G169" s="211"/>
      <c r="H169" s="211"/>
      <c r="I169" s="211"/>
      <c r="J169" s="211"/>
      <c r="K169" s="211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</row>
    <row r="170" ht="15.75" customHeight="1" spans="1:26" x14ac:dyDescent="0.25">
      <c r="A170" s="177"/>
      <c r="B170" s="177"/>
      <c r="C170" s="211"/>
      <c r="D170" s="211"/>
      <c r="E170" s="211"/>
      <c r="F170" s="211"/>
      <c r="G170" s="211"/>
      <c r="H170" s="211"/>
      <c r="I170" s="211"/>
      <c r="J170" s="211"/>
      <c r="K170" s="211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</row>
    <row r="171" ht="15.75" customHeight="1" spans="1:26" x14ac:dyDescent="0.25">
      <c r="A171" s="177"/>
      <c r="B171" s="177"/>
      <c r="C171" s="211"/>
      <c r="D171" s="211"/>
      <c r="E171" s="211"/>
      <c r="F171" s="211"/>
      <c r="G171" s="211"/>
      <c r="H171" s="211"/>
      <c r="I171" s="211"/>
      <c r="J171" s="211"/>
      <c r="K171" s="211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</row>
    <row r="172" ht="15.75" customHeight="1" spans="1:26" x14ac:dyDescent="0.25">
      <c r="A172" s="177"/>
      <c r="B172" s="177"/>
      <c r="C172" s="211"/>
      <c r="D172" s="211"/>
      <c r="E172" s="211"/>
      <c r="F172" s="211"/>
      <c r="G172" s="211"/>
      <c r="H172" s="211"/>
      <c r="I172" s="211"/>
      <c r="J172" s="211"/>
      <c r="K172" s="211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</row>
    <row r="173" ht="15.75" customHeight="1" spans="1:26" x14ac:dyDescent="0.25">
      <c r="A173" s="177"/>
      <c r="B173" s="177"/>
      <c r="C173" s="211"/>
      <c r="D173" s="211"/>
      <c r="E173" s="211"/>
      <c r="F173" s="211"/>
      <c r="G173" s="211"/>
      <c r="H173" s="211"/>
      <c r="I173" s="211"/>
      <c r="J173" s="211"/>
      <c r="K173" s="211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</row>
    <row r="174" ht="15.75" customHeight="1" spans="1:26" x14ac:dyDescent="0.25">
      <c r="A174" s="177"/>
      <c r="B174" s="177"/>
      <c r="C174" s="211"/>
      <c r="D174" s="211"/>
      <c r="E174" s="211"/>
      <c r="F174" s="211"/>
      <c r="G174" s="211"/>
      <c r="H174" s="211"/>
      <c r="I174" s="211"/>
      <c r="J174" s="211"/>
      <c r="K174" s="211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</row>
    <row r="175" ht="15.75" customHeight="1" spans="1:26" x14ac:dyDescent="0.25">
      <c r="A175" s="177"/>
      <c r="B175" s="177"/>
      <c r="C175" s="211"/>
      <c r="D175" s="211"/>
      <c r="E175" s="211"/>
      <c r="F175" s="211"/>
      <c r="G175" s="211"/>
      <c r="H175" s="211"/>
      <c r="I175" s="211"/>
      <c r="J175" s="211"/>
      <c r="K175" s="211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</row>
    <row r="176" ht="15.75" customHeight="1" spans="1:26" x14ac:dyDescent="0.25">
      <c r="A176" s="177"/>
      <c r="B176" s="177"/>
      <c r="C176" s="211"/>
      <c r="D176" s="211"/>
      <c r="E176" s="211"/>
      <c r="F176" s="211"/>
      <c r="G176" s="211"/>
      <c r="H176" s="211"/>
      <c r="I176" s="211"/>
      <c r="J176" s="211"/>
      <c r="K176" s="211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</row>
    <row r="177" ht="15.75" customHeight="1" spans="1:26" x14ac:dyDescent="0.25">
      <c r="A177" s="177"/>
      <c r="B177" s="177"/>
      <c r="C177" s="211"/>
      <c r="D177" s="211"/>
      <c r="E177" s="211"/>
      <c r="F177" s="211"/>
      <c r="G177" s="211"/>
      <c r="H177" s="211"/>
      <c r="I177" s="211"/>
      <c r="J177" s="211"/>
      <c r="K177" s="211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</row>
    <row r="178" ht="15.75" customHeight="1" spans="1:26" x14ac:dyDescent="0.25">
      <c r="A178" s="177"/>
      <c r="B178" s="177"/>
      <c r="C178" s="211"/>
      <c r="D178" s="211"/>
      <c r="E178" s="211"/>
      <c r="F178" s="211"/>
      <c r="G178" s="211"/>
      <c r="H178" s="211"/>
      <c r="I178" s="211"/>
      <c r="J178" s="211"/>
      <c r="K178" s="211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</row>
    <row r="179" ht="15.75" customHeight="1" spans="1:26" x14ac:dyDescent="0.25">
      <c r="A179" s="177"/>
      <c r="B179" s="177"/>
      <c r="C179" s="211"/>
      <c r="D179" s="211"/>
      <c r="E179" s="211"/>
      <c r="F179" s="211"/>
      <c r="G179" s="211"/>
      <c r="H179" s="211"/>
      <c r="I179" s="211"/>
      <c r="J179" s="211"/>
      <c r="K179" s="211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</row>
    <row r="180" ht="15.75" customHeight="1" spans="1:26" x14ac:dyDescent="0.25">
      <c r="A180" s="177"/>
      <c r="B180" s="177"/>
      <c r="C180" s="211"/>
      <c r="D180" s="211"/>
      <c r="E180" s="211"/>
      <c r="F180" s="211"/>
      <c r="G180" s="211"/>
      <c r="H180" s="211"/>
      <c r="I180" s="211"/>
      <c r="J180" s="211"/>
      <c r="K180" s="211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</row>
    <row r="181" ht="15.75" customHeight="1" spans="1:26" x14ac:dyDescent="0.25">
      <c r="A181" s="177"/>
      <c r="B181" s="177"/>
      <c r="C181" s="211"/>
      <c r="D181" s="211"/>
      <c r="E181" s="211"/>
      <c r="F181" s="211"/>
      <c r="G181" s="211"/>
      <c r="H181" s="211"/>
      <c r="I181" s="211"/>
      <c r="J181" s="211"/>
      <c r="K181" s="211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</row>
    <row r="182" ht="15.75" customHeight="1" spans="1:26" x14ac:dyDescent="0.25">
      <c r="A182" s="177"/>
      <c r="B182" s="177"/>
      <c r="C182" s="211"/>
      <c r="D182" s="211"/>
      <c r="E182" s="211"/>
      <c r="F182" s="211"/>
      <c r="G182" s="211"/>
      <c r="H182" s="211"/>
      <c r="I182" s="211"/>
      <c r="J182" s="211"/>
      <c r="K182" s="211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</row>
    <row r="183" ht="15.75" customHeight="1" spans="1:26" x14ac:dyDescent="0.25">
      <c r="A183" s="177"/>
      <c r="B183" s="177"/>
      <c r="C183" s="211"/>
      <c r="D183" s="211"/>
      <c r="E183" s="211"/>
      <c r="F183" s="211"/>
      <c r="G183" s="211"/>
      <c r="H183" s="211"/>
      <c r="I183" s="211"/>
      <c r="J183" s="211"/>
      <c r="K183" s="211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</row>
    <row r="184" ht="15.75" customHeight="1" spans="1:26" x14ac:dyDescent="0.25">
      <c r="A184" s="177"/>
      <c r="B184" s="177"/>
      <c r="C184" s="211"/>
      <c r="D184" s="211"/>
      <c r="E184" s="211"/>
      <c r="F184" s="211"/>
      <c r="G184" s="211"/>
      <c r="H184" s="211"/>
      <c r="I184" s="211"/>
      <c r="J184" s="211"/>
      <c r="K184" s="211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</row>
    <row r="185" ht="15.75" customHeight="1" spans="1:26" x14ac:dyDescent="0.25">
      <c r="A185" s="177"/>
      <c r="B185" s="177"/>
      <c r="C185" s="211"/>
      <c r="D185" s="211"/>
      <c r="E185" s="211"/>
      <c r="F185" s="211"/>
      <c r="G185" s="211"/>
      <c r="H185" s="211"/>
      <c r="I185" s="211"/>
      <c r="J185" s="211"/>
      <c r="K185" s="211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</row>
    <row r="186" ht="15.75" customHeight="1" spans="1:26" x14ac:dyDescent="0.25">
      <c r="A186" s="177"/>
      <c r="B186" s="177"/>
      <c r="C186" s="211"/>
      <c r="D186" s="211"/>
      <c r="E186" s="211"/>
      <c r="F186" s="211"/>
      <c r="G186" s="211"/>
      <c r="H186" s="211"/>
      <c r="I186" s="211"/>
      <c r="J186" s="211"/>
      <c r="K186" s="211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</row>
    <row r="187" ht="15.75" customHeight="1" spans="1:26" x14ac:dyDescent="0.25">
      <c r="A187" s="177"/>
      <c r="B187" s="177"/>
      <c r="C187" s="211"/>
      <c r="D187" s="211"/>
      <c r="E187" s="211"/>
      <c r="F187" s="211"/>
      <c r="G187" s="211"/>
      <c r="H187" s="211"/>
      <c r="I187" s="211"/>
      <c r="J187" s="211"/>
      <c r="K187" s="211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</row>
    <row r="188" ht="15.75" customHeight="1" spans="1:26" x14ac:dyDescent="0.25">
      <c r="A188" s="177"/>
      <c r="B188" s="177"/>
      <c r="C188" s="211"/>
      <c r="D188" s="211"/>
      <c r="E188" s="211"/>
      <c r="F188" s="211"/>
      <c r="G188" s="211"/>
      <c r="H188" s="211"/>
      <c r="I188" s="211"/>
      <c r="J188" s="211"/>
      <c r="K188" s="211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</row>
    <row r="189" ht="15.75" customHeight="1" spans="1:26" x14ac:dyDescent="0.25">
      <c r="A189" s="177"/>
      <c r="B189" s="177"/>
      <c r="C189" s="211"/>
      <c r="D189" s="211"/>
      <c r="E189" s="211"/>
      <c r="F189" s="211"/>
      <c r="G189" s="211"/>
      <c r="H189" s="211"/>
      <c r="I189" s="211"/>
      <c r="J189" s="211"/>
      <c r="K189" s="211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</row>
    <row r="190" ht="15.75" customHeight="1" spans="1:26" x14ac:dyDescent="0.25">
      <c r="A190" s="177"/>
      <c r="B190" s="177"/>
      <c r="C190" s="211"/>
      <c r="D190" s="211"/>
      <c r="E190" s="211"/>
      <c r="F190" s="211"/>
      <c r="G190" s="211"/>
      <c r="H190" s="211"/>
      <c r="I190" s="211"/>
      <c r="J190" s="211"/>
      <c r="K190" s="211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</row>
    <row r="191" ht="15.75" customHeight="1" spans="1:26" x14ac:dyDescent="0.25">
      <c r="A191" s="177"/>
      <c r="B191" s="177"/>
      <c r="C191" s="211"/>
      <c r="D191" s="211"/>
      <c r="E191" s="211"/>
      <c r="F191" s="211"/>
      <c r="G191" s="211"/>
      <c r="H191" s="211"/>
      <c r="I191" s="211"/>
      <c r="J191" s="211"/>
      <c r="K191" s="211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</row>
    <row r="192" ht="15.75" customHeight="1" spans="1:26" x14ac:dyDescent="0.25">
      <c r="A192" s="177"/>
      <c r="B192" s="177"/>
      <c r="C192" s="211"/>
      <c r="D192" s="211"/>
      <c r="E192" s="211"/>
      <c r="F192" s="211"/>
      <c r="G192" s="211"/>
      <c r="H192" s="211"/>
      <c r="I192" s="211"/>
      <c r="J192" s="211"/>
      <c r="K192" s="211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</row>
    <row r="193" ht="15.75" customHeight="1" spans="1:26" x14ac:dyDescent="0.25">
      <c r="A193" s="177"/>
      <c r="B193" s="177"/>
      <c r="C193" s="211"/>
      <c r="D193" s="211"/>
      <c r="E193" s="211"/>
      <c r="F193" s="211"/>
      <c r="G193" s="211"/>
      <c r="H193" s="211"/>
      <c r="I193" s="211"/>
      <c r="J193" s="211"/>
      <c r="K193" s="211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</row>
    <row r="194" ht="15.75" customHeight="1" spans="1:26" x14ac:dyDescent="0.25">
      <c r="A194" s="177"/>
      <c r="B194" s="177"/>
      <c r="C194" s="211"/>
      <c r="D194" s="211"/>
      <c r="E194" s="211"/>
      <c r="F194" s="211"/>
      <c r="G194" s="211"/>
      <c r="H194" s="211"/>
      <c r="I194" s="211"/>
      <c r="J194" s="211"/>
      <c r="K194" s="211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</row>
    <row r="195" ht="15.75" customHeight="1" spans="1:26" x14ac:dyDescent="0.25">
      <c r="A195" s="177"/>
      <c r="B195" s="177"/>
      <c r="C195" s="211"/>
      <c r="D195" s="211"/>
      <c r="E195" s="211"/>
      <c r="F195" s="211"/>
      <c r="G195" s="211"/>
      <c r="H195" s="211"/>
      <c r="I195" s="211"/>
      <c r="J195" s="211"/>
      <c r="K195" s="211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</row>
    <row r="196" ht="15.75" customHeight="1" spans="1:26" x14ac:dyDescent="0.25">
      <c r="A196" s="177"/>
      <c r="B196" s="177"/>
      <c r="C196" s="211"/>
      <c r="D196" s="211"/>
      <c r="E196" s="211"/>
      <c r="F196" s="211"/>
      <c r="G196" s="211"/>
      <c r="H196" s="211"/>
      <c r="I196" s="211"/>
      <c r="J196" s="211"/>
      <c r="K196" s="211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</row>
    <row r="197" ht="15.75" customHeight="1" spans="1:26" x14ac:dyDescent="0.25">
      <c r="A197" s="177"/>
      <c r="B197" s="177"/>
      <c r="C197" s="211"/>
      <c r="D197" s="211"/>
      <c r="E197" s="211"/>
      <c r="F197" s="211"/>
      <c r="G197" s="211"/>
      <c r="H197" s="211"/>
      <c r="I197" s="211"/>
      <c r="J197" s="211"/>
      <c r="K197" s="211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</row>
    <row r="198" ht="15.75" customHeight="1" spans="1:26" x14ac:dyDescent="0.25">
      <c r="A198" s="177"/>
      <c r="B198" s="177"/>
      <c r="C198" s="211"/>
      <c r="D198" s="211"/>
      <c r="E198" s="211"/>
      <c r="F198" s="211"/>
      <c r="G198" s="211"/>
      <c r="H198" s="211"/>
      <c r="I198" s="211"/>
      <c r="J198" s="211"/>
      <c r="K198" s="211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</row>
    <row r="199" ht="15.75" customHeight="1" spans="1:26" x14ac:dyDescent="0.25">
      <c r="A199" s="177"/>
      <c r="B199" s="177"/>
      <c r="C199" s="211"/>
      <c r="D199" s="211"/>
      <c r="E199" s="211"/>
      <c r="F199" s="211"/>
      <c r="G199" s="211"/>
      <c r="H199" s="211"/>
      <c r="I199" s="211"/>
      <c r="J199" s="211"/>
      <c r="K199" s="211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</row>
    <row r="200" ht="15.75" customHeight="1" spans="1:26" x14ac:dyDescent="0.25">
      <c r="A200" s="177"/>
      <c r="B200" s="177"/>
      <c r="C200" s="211"/>
      <c r="D200" s="211"/>
      <c r="E200" s="211"/>
      <c r="F200" s="211"/>
      <c r="G200" s="211"/>
      <c r="H200" s="211"/>
      <c r="I200" s="211"/>
      <c r="J200" s="211"/>
      <c r="K200" s="211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</row>
    <row r="201" ht="15.75" customHeight="1" spans="1:26" x14ac:dyDescent="0.25">
      <c r="A201" s="177"/>
      <c r="B201" s="177"/>
      <c r="C201" s="211"/>
      <c r="D201" s="211"/>
      <c r="E201" s="211"/>
      <c r="F201" s="211"/>
      <c r="G201" s="211"/>
      <c r="H201" s="211"/>
      <c r="I201" s="211"/>
      <c r="J201" s="211"/>
      <c r="K201" s="211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</row>
    <row r="202" ht="15.75" customHeight="1" spans="1:26" x14ac:dyDescent="0.25">
      <c r="A202" s="177"/>
      <c r="B202" s="177"/>
      <c r="C202" s="211"/>
      <c r="D202" s="211"/>
      <c r="E202" s="211"/>
      <c r="F202" s="211"/>
      <c r="G202" s="211"/>
      <c r="H202" s="211"/>
      <c r="I202" s="211"/>
      <c r="J202" s="211"/>
      <c r="K202" s="211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</row>
    <row r="203" ht="15.75" customHeight="1" spans="1:26" x14ac:dyDescent="0.25">
      <c r="A203" s="177"/>
      <c r="B203" s="177"/>
      <c r="C203" s="211"/>
      <c r="D203" s="211"/>
      <c r="E203" s="211"/>
      <c r="F203" s="211"/>
      <c r="G203" s="211"/>
      <c r="H203" s="211"/>
      <c r="I203" s="211"/>
      <c r="J203" s="211"/>
      <c r="K203" s="211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</row>
    <row r="204" ht="15.75" customHeight="1" spans="1:26" x14ac:dyDescent="0.25">
      <c r="A204" s="177"/>
      <c r="B204" s="177"/>
      <c r="C204" s="211"/>
      <c r="D204" s="211"/>
      <c r="E204" s="211"/>
      <c r="F204" s="211"/>
      <c r="G204" s="211"/>
      <c r="H204" s="211"/>
      <c r="I204" s="211"/>
      <c r="J204" s="211"/>
      <c r="K204" s="211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</row>
    <row r="205" ht="15.75" customHeight="1" spans="1:26" x14ac:dyDescent="0.25">
      <c r="A205" s="177"/>
      <c r="B205" s="177"/>
      <c r="C205" s="211"/>
      <c r="D205" s="211"/>
      <c r="E205" s="211"/>
      <c r="F205" s="211"/>
      <c r="G205" s="211"/>
      <c r="H205" s="211"/>
      <c r="I205" s="211"/>
      <c r="J205" s="211"/>
      <c r="K205" s="211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</row>
    <row r="206" ht="15.75" customHeight="1" spans="1:26" x14ac:dyDescent="0.25">
      <c r="A206" s="177"/>
      <c r="B206" s="177"/>
      <c r="C206" s="211"/>
      <c r="D206" s="211"/>
      <c r="E206" s="211"/>
      <c r="F206" s="211"/>
      <c r="G206" s="211"/>
      <c r="H206" s="211"/>
      <c r="I206" s="211"/>
      <c r="J206" s="211"/>
      <c r="K206" s="211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</row>
    <row r="207" ht="15.75" customHeight="1" spans="1:26" x14ac:dyDescent="0.25">
      <c r="A207" s="177"/>
      <c r="B207" s="177"/>
      <c r="C207" s="211"/>
      <c r="D207" s="211"/>
      <c r="E207" s="211"/>
      <c r="F207" s="211"/>
      <c r="G207" s="211"/>
      <c r="H207" s="211"/>
      <c r="I207" s="211"/>
      <c r="J207" s="211"/>
      <c r="K207" s="211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</row>
    <row r="208" ht="15.75" customHeight="1" spans="1:26" x14ac:dyDescent="0.25">
      <c r="A208" s="177"/>
      <c r="B208" s="177"/>
      <c r="C208" s="211"/>
      <c r="D208" s="211"/>
      <c r="E208" s="211"/>
      <c r="F208" s="211"/>
      <c r="G208" s="211"/>
      <c r="H208" s="211"/>
      <c r="I208" s="211"/>
      <c r="J208" s="211"/>
      <c r="K208" s="211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</row>
    <row r="209" ht="15.75" customHeight="1" spans="1:26" x14ac:dyDescent="0.25">
      <c r="A209" s="177"/>
      <c r="B209" s="177"/>
      <c r="C209" s="211"/>
      <c r="D209" s="211"/>
      <c r="E209" s="211"/>
      <c r="F209" s="211"/>
      <c r="G209" s="211"/>
      <c r="H209" s="211"/>
      <c r="I209" s="211"/>
      <c r="J209" s="211"/>
      <c r="K209" s="211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</row>
    <row r="210" ht="15.75" customHeight="1" spans="1:26" x14ac:dyDescent="0.25">
      <c r="A210" s="177"/>
      <c r="B210" s="177"/>
      <c r="C210" s="211"/>
      <c r="D210" s="211"/>
      <c r="E210" s="211"/>
      <c r="F210" s="211"/>
      <c r="G210" s="211"/>
      <c r="H210" s="211"/>
      <c r="I210" s="211"/>
      <c r="J210" s="211"/>
      <c r="K210" s="211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</row>
    <row r="211" ht="15.75" customHeight="1" spans="1:26" x14ac:dyDescent="0.25">
      <c r="A211" s="177"/>
      <c r="B211" s="177"/>
      <c r="C211" s="211"/>
      <c r="D211" s="211"/>
      <c r="E211" s="211"/>
      <c r="F211" s="211"/>
      <c r="G211" s="211"/>
      <c r="H211" s="211"/>
      <c r="I211" s="211"/>
      <c r="J211" s="211"/>
      <c r="K211" s="211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</row>
    <row r="212" ht="15.75" customHeight="1" spans="1:26" x14ac:dyDescent="0.25">
      <c r="A212" s="177"/>
      <c r="B212" s="177"/>
      <c r="C212" s="211"/>
      <c r="D212" s="211"/>
      <c r="E212" s="211"/>
      <c r="F212" s="211"/>
      <c r="G212" s="211"/>
      <c r="H212" s="211"/>
      <c r="I212" s="211"/>
      <c r="J212" s="211"/>
      <c r="K212" s="211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</row>
    <row r="213" ht="15.75" customHeight="1" spans="1:26" x14ac:dyDescent="0.25">
      <c r="A213" s="177"/>
      <c r="B213" s="177"/>
      <c r="C213" s="211"/>
      <c r="D213" s="211"/>
      <c r="E213" s="211"/>
      <c r="F213" s="211"/>
      <c r="G213" s="211"/>
      <c r="H213" s="211"/>
      <c r="I213" s="211"/>
      <c r="J213" s="211"/>
      <c r="K213" s="211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</row>
    <row r="214" ht="15.75" customHeight="1" spans="1:26" x14ac:dyDescent="0.25">
      <c r="A214" s="177"/>
      <c r="B214" s="177"/>
      <c r="C214" s="211"/>
      <c r="D214" s="211"/>
      <c r="E214" s="211"/>
      <c r="F214" s="211"/>
      <c r="G214" s="211"/>
      <c r="H214" s="211"/>
      <c r="I214" s="211"/>
      <c r="J214" s="211"/>
      <c r="K214" s="211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</row>
    <row r="215" ht="15.75" customHeight="1" spans="1:26" x14ac:dyDescent="0.25">
      <c r="A215" s="177"/>
      <c r="B215" s="177"/>
      <c r="C215" s="211"/>
      <c r="D215" s="211"/>
      <c r="E215" s="211"/>
      <c r="F215" s="211"/>
      <c r="G215" s="211"/>
      <c r="H215" s="211"/>
      <c r="I215" s="211"/>
      <c r="J215" s="211"/>
      <c r="K215" s="211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</row>
    <row r="216" ht="15.75" customHeight="1" spans="1:26" x14ac:dyDescent="0.25">
      <c r="A216" s="177"/>
      <c r="B216" s="177"/>
      <c r="C216" s="211"/>
      <c r="D216" s="211"/>
      <c r="E216" s="211"/>
      <c r="F216" s="211"/>
      <c r="G216" s="211"/>
      <c r="H216" s="211"/>
      <c r="I216" s="211"/>
      <c r="J216" s="211"/>
      <c r="K216" s="211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</row>
    <row r="217" ht="15.75" customHeight="1" spans="1:26" x14ac:dyDescent="0.25">
      <c r="A217" s="177"/>
      <c r="B217" s="177"/>
      <c r="C217" s="211"/>
      <c r="D217" s="211"/>
      <c r="E217" s="211"/>
      <c r="F217" s="211"/>
      <c r="G217" s="211"/>
      <c r="H217" s="211"/>
      <c r="I217" s="211"/>
      <c r="J217" s="211"/>
      <c r="K217" s="211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</row>
    <row r="218" ht="15.75" customHeight="1" spans="1:26" x14ac:dyDescent="0.25">
      <c r="A218" s="177"/>
      <c r="B218" s="177"/>
      <c r="C218" s="211"/>
      <c r="D218" s="211"/>
      <c r="E218" s="211"/>
      <c r="F218" s="211"/>
      <c r="G218" s="211"/>
      <c r="H218" s="211"/>
      <c r="I218" s="211"/>
      <c r="J218" s="211"/>
      <c r="K218" s="211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</row>
    <row r="219" ht="15.75" customHeight="1" spans="1:26" x14ac:dyDescent="0.25">
      <c r="A219" s="177"/>
      <c r="B219" s="177"/>
      <c r="C219" s="211"/>
      <c r="D219" s="211"/>
      <c r="E219" s="211"/>
      <c r="F219" s="211"/>
      <c r="G219" s="211"/>
      <c r="H219" s="211"/>
      <c r="I219" s="211"/>
      <c r="J219" s="211"/>
      <c r="K219" s="211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</row>
    <row r="220" ht="15.75" customHeight="1" spans="1:26" x14ac:dyDescent="0.25">
      <c r="A220" s="177"/>
      <c r="B220" s="177"/>
      <c r="C220" s="211"/>
      <c r="D220" s="211"/>
      <c r="E220" s="211"/>
      <c r="F220" s="211"/>
      <c r="G220" s="211"/>
      <c r="H220" s="211"/>
      <c r="I220" s="211"/>
      <c r="J220" s="211"/>
      <c r="K220" s="211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</row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3">
    <mergeCell ref="G1:J1"/>
    <mergeCell ref="B1:B2"/>
    <mergeCell ref="C1:C2"/>
    <mergeCell ref="D1:D2"/>
    <mergeCell ref="E1:E2"/>
    <mergeCell ref="F1:F2"/>
    <mergeCell ref="K1:K2"/>
    <mergeCell ref="A4:A6"/>
    <mergeCell ref="K4:K9"/>
    <mergeCell ref="A7:A9"/>
    <mergeCell ref="A10:A12"/>
    <mergeCell ref="K10:K15"/>
    <mergeCell ref="A13:A15"/>
  </mergeCells>
  <dataValidations count="2">
    <dataValidation type="custom" allowBlank="1" showErrorMessage="1" sqref="B10:B15">
      <formula1>OR(NOT(ISERROR(DATEVALUE(B4))), AND(ISNUMBER(B4), LEFT(CELL("format", B4))="D"))</formula1>
    </dataValidation>
    <dataValidation type="custom" allowBlank="1" showErrorMessage="1" sqref="B4:B15">
      <formula1>OR(NOT(ISERROR(DATEVALUE(B4))), AND(ISNUMBER(B4), LEFT(CELL("format", B4))="D"))</formula1>
    </dataValidation>
  </dataValidation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89</vt:i4>
      </vt:variant>
    </vt:vector>
  </HeadingPairs>
  <TitlesOfParts>
    <vt:vector size="89" baseType="lpstr">
      <vt:lpstr>Form Responses 1</vt:lpstr>
      <vt:lpstr> جمادى الثانية</vt:lpstr>
      <vt:lpstr>جمادى الأولى</vt:lpstr>
      <vt:lpstr>الأحسن والأدنى</vt:lpstr>
      <vt:lpstr>بيان النتائج</vt:lpstr>
      <vt:lpstr>الغرفة 1</vt:lpstr>
      <vt:lpstr>أسماء المشرفين والأولياء والرؤس</vt:lpstr>
      <vt:lpstr>الغرفة 2</vt:lpstr>
      <vt:lpstr>الغرفة 3</vt:lpstr>
      <vt:lpstr>الغرفة 4</vt:lpstr>
      <vt:lpstr>الغرفة 5</vt:lpstr>
      <vt:lpstr>الغرفة 6</vt:lpstr>
      <vt:lpstr>الغرفة 7</vt:lpstr>
      <vt:lpstr>الغرفة 8</vt:lpstr>
      <vt:lpstr>الغرفة 9</vt:lpstr>
      <vt:lpstr>الغرفة 10</vt:lpstr>
      <vt:lpstr>الغرفة 11</vt:lpstr>
      <vt:lpstr>الغرفة 12</vt:lpstr>
      <vt:lpstr>الغرفة 13</vt:lpstr>
      <vt:lpstr>الغرفة 14</vt:lpstr>
      <vt:lpstr>الغرفة 15</vt:lpstr>
      <vt:lpstr>الغرفة 16</vt:lpstr>
      <vt:lpstr>الغرفة 17</vt:lpstr>
      <vt:lpstr>الغرفة 18</vt:lpstr>
      <vt:lpstr>الغرفة 19</vt:lpstr>
      <vt:lpstr>الغرفة 20</vt:lpstr>
      <vt:lpstr>الغرفة 21</vt:lpstr>
      <vt:lpstr>الغرفة 22</vt:lpstr>
      <vt:lpstr>الغرفة 23</vt:lpstr>
      <vt:lpstr>الغرفة 24</vt:lpstr>
      <vt:lpstr>الغرفة 25</vt:lpstr>
      <vt:lpstr>الغرفة 26</vt:lpstr>
      <vt:lpstr>الغرفة 27</vt:lpstr>
      <vt:lpstr>الغرفة 28</vt:lpstr>
      <vt:lpstr>الغرفة 29</vt:lpstr>
      <vt:lpstr>الغرفة 30</vt:lpstr>
      <vt:lpstr>الغرفة 31</vt:lpstr>
      <vt:lpstr>الغرفة 32</vt:lpstr>
      <vt:lpstr>الغرفة 33</vt:lpstr>
      <vt:lpstr>الغرفة 34</vt:lpstr>
      <vt:lpstr>الغرفة 35</vt:lpstr>
      <vt:lpstr>Sheet26</vt:lpstr>
      <vt:lpstr>الغرفة 36</vt:lpstr>
      <vt:lpstr>الغرفة 37</vt:lpstr>
      <vt:lpstr>الغرفة 38</vt:lpstr>
      <vt:lpstr>الغرفة 39</vt:lpstr>
      <vt:lpstr>الغرفة 40</vt:lpstr>
      <vt:lpstr>الغرفة 41</vt:lpstr>
      <vt:lpstr>الغرفة 42</vt:lpstr>
      <vt:lpstr>الغرفة 43</vt:lpstr>
      <vt:lpstr>الغرفة 45</vt:lpstr>
      <vt:lpstr>الغرفة 46</vt:lpstr>
      <vt:lpstr>الغرفة 47</vt:lpstr>
      <vt:lpstr>الغرفة 48</vt:lpstr>
      <vt:lpstr>الغرفة 49</vt:lpstr>
      <vt:lpstr>الغرفة 50</vt:lpstr>
      <vt:lpstr>الغرفة 51</vt:lpstr>
      <vt:lpstr>الغرفة 52</vt:lpstr>
      <vt:lpstr>الغرفة 53</vt:lpstr>
      <vt:lpstr>الغرفة 54</vt:lpstr>
      <vt:lpstr>الغرفة 55</vt:lpstr>
      <vt:lpstr>الغرفة 56</vt:lpstr>
      <vt:lpstr>الغرفة 57</vt:lpstr>
      <vt:lpstr>الغرفة 58</vt:lpstr>
      <vt:lpstr>الغرفة 59</vt:lpstr>
      <vt:lpstr>الغرفة 60</vt:lpstr>
      <vt:lpstr>الغرفة 61</vt:lpstr>
      <vt:lpstr>الغرفة 62</vt:lpstr>
      <vt:lpstr>الغرفة 63</vt:lpstr>
      <vt:lpstr>الغرفة 64</vt:lpstr>
      <vt:lpstr>الغرفة 65</vt:lpstr>
      <vt:lpstr>الغرفة 1 دلوى 4</vt:lpstr>
      <vt:lpstr>الغرفة 2 دلوى 4</vt:lpstr>
      <vt:lpstr>الغرفة 3 دلوى 4</vt:lpstr>
      <vt:lpstr>الغرفة 4 دلوى 4</vt:lpstr>
      <vt:lpstr>الغرفة 5 دلوى 4</vt:lpstr>
      <vt:lpstr>الغرفة 6 دلوى 4</vt:lpstr>
      <vt:lpstr>الغرفة 7 دلوى 4</vt:lpstr>
      <vt:lpstr>الغرفة 8 دلوى 4</vt:lpstr>
      <vt:lpstr>الغرفة 9 دلوى 4</vt:lpstr>
      <vt:lpstr>الغرفة 10 دلوى 4</vt:lpstr>
      <vt:lpstr>الغرفة 11 دلوى 4</vt:lpstr>
      <vt:lpstr>الغرفة 12 دلوى 4</vt:lpstr>
      <vt:lpstr>الغرفة 13 دلوى 4</vt:lpstr>
      <vt:lpstr>الغرفة 14 دلوى 4</vt:lpstr>
      <vt:lpstr>الغرفة 15 دلوى 4</vt:lpstr>
      <vt:lpstr>الغرفة 16 دلوى 4</vt:lpstr>
      <vt:lpstr>الغرفة 17 دلوى 4</vt:lpstr>
      <vt:lpstr>الغرفة 18 دلوى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2026-08-16T13:38:43Z</dcterms:created>
  <dcterms:modified xsi:type="dcterms:W3CDTF">2026-08-16T13:38:43Z</dcterms:modified>
</cp:coreProperties>
</file>